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'Part-III.'!$A$1:$BJ$20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Jan' 11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Jan' 11</t>
        </r>
      </text>
    </commen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Jan' 11</t>
        </r>
      </text>
    </comment>
  </commentList>
</comments>
</file>

<file path=xl/sharedStrings.xml><?xml version="1.0" encoding="utf-8"?>
<sst xmlns="http://schemas.openxmlformats.org/spreadsheetml/2006/main" count="409" uniqueCount="147">
  <si>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</si>
  <si>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</si>
  <si>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</si>
  <si>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</si>
  <si>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</si>
  <si>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</si>
  <si>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</si>
  <si>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</si>
  <si>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</si>
  <si>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</si>
  <si>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</si>
  <si>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</si>
  <si>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</si>
  <si>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</si>
  <si>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</si>
  <si>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</si>
  <si>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</si>
  <si>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</si>
  <si>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</si>
  <si>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</si>
  <si>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</si>
  <si>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</si>
  <si>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</si>
  <si>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</si>
  <si>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</si>
  <si>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</si>
  <si>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</si>
  <si>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</si>
  <si>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</si>
  <si>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</si>
  <si>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</si>
  <si>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</si>
  <si>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</si>
  <si>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</si>
  <si>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</si>
  <si>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</si>
  <si>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</si>
  <si>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</si>
  <si>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</si>
  <si>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</si>
  <si>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</si>
  <si>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</si>
  <si>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</si>
  <si>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</si>
  <si>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</si>
  <si>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</si>
  <si>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</si>
  <si>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</si>
  <si>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</si>
  <si>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</si>
  <si>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</si>
  <si>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</si>
  <si>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</si>
  <si>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</si>
  <si>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</si>
  <si>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</si>
  <si>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</si>
  <si>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</si>
  <si>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</si>
  <si>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</si>
  <si>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</si>
  <si>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</si>
  <si>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</si>
  <si>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</si>
  <si>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</si>
  <si>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</si>
  <si>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</si>
  <si>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</si>
  <si>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</si>
  <si>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</si>
  <si>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</si>
  <si>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</si>
  <si>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</si>
  <si>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</si>
  <si>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</si>
  <si>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</si>
  <si>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</si>
  <si>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</si>
  <si>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</si>
  <si>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</si>
  <si>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</si>
  <si>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</si>
  <si>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</si>
  <si>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</si>
  <si>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</si>
  <si>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</si>
  <si>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</si>
  <si>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</si>
  <si>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</si>
  <si>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</si>
  <si>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</si>
  <si>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</si>
  <si>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</si>
  <si>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</si>
  <si>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</si>
  <si>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</si>
  <si>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</si>
  <si>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</si>
  <si>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</si>
  <si>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</si>
  <si>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</si>
  <si>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</si>
  <si>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</si>
  <si>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</si>
  <si>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</si>
  <si>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</si>
  <si>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</si>
  <si>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</si>
  <si>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</si>
  <si>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</si>
  <si>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</si>
  <si>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</si>
  <si>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</si>
  <si>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</si>
  <si>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</si>
  <si>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</si>
  <si>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</si>
  <si>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</si>
  <si>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</si>
  <si>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</si>
  <si>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</si>
  <si>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</si>
  <si>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</si>
  <si>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</si>
  <si>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</si>
  <si>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</si>
  <si>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</si>
  <si>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</si>
  <si>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</si>
  <si>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</si>
  <si>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</si>
  <si>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</si>
  <si>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</si>
  <si>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</si>
  <si>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</si>
  <si>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</si>
  <si>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</si>
  <si>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</si>
  <si>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</si>
  <si>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Minority</t>
  </si>
  <si>
    <t>exp. 4 d month</t>
  </si>
  <si>
    <t>Financial Performance Under NREGA During the year 2010-11 Up to the Month of January' 2011</t>
  </si>
  <si>
    <t>Employment Generation Report for the month of January' 2011</t>
  </si>
  <si>
    <t>Physical Performance Under NREGA During the year 2010-11 Up to the Month of January' 2011</t>
  </si>
  <si>
    <t>Transparency Report Under NREGA During the year 2010-11 Up to the Month of January' 2011</t>
  </si>
  <si>
    <t>FORMAT FOR MONTHLY PROGRESS REPORT - V-A (Capacity Building - Personnel Report for the Month of January' 2011)</t>
  </si>
  <si>
    <t>FORMAT FOR MONTHLY PROGRESS REPORT - V-B (Capacity Building - Training Report for the Month of January' 2011)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</si>
</sst>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3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9" borderId="0" applyNumberFormat="0" applyBorder="0" applyAlignment="0" applyProtection="0"/>
    <xf numFmtId="0" fontId="104" fillId="3" borderId="0" applyNumberFormat="0" applyBorder="0" applyAlignment="0" applyProtection="0"/>
    <xf numFmtId="0" fontId="105" fillId="20" borderId="1" applyNumberFormat="0" applyAlignment="0" applyProtection="0"/>
    <xf numFmtId="0" fontId="10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8" fillId="4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2" fillId="7" borderId="1" applyNumberFormat="0" applyAlignment="0" applyProtection="0"/>
    <xf numFmtId="0" fontId="113" fillId="0" borderId="6" applyNumberFormat="0" applyFill="0" applyAlignment="0" applyProtection="0"/>
    <xf numFmtId="0" fontId="11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5" fillId="20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10" xfId="58" applyFont="1" applyBorder="1" applyAlignment="1">
      <alignment horizontal="right" vertical="center"/>
      <protection/>
    </xf>
    <xf numFmtId="0" fontId="54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57" applyFont="1" applyAlignment="1">
      <alignment horizontal="right"/>
      <protection/>
    </xf>
    <xf numFmtId="0" fontId="54" fillId="0" borderId="10" xfId="58" applyFont="1" applyFill="1" applyBorder="1" applyAlignment="1">
      <alignment horizontal="right" vertical="center"/>
      <protection/>
    </xf>
    <xf numFmtId="0" fontId="54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61" fillId="0" borderId="0" xfId="61" applyFont="1">
      <alignment/>
      <protection/>
    </xf>
    <xf numFmtId="0" fontId="12" fillId="0" borderId="0" xfId="61" applyFont="1" applyAlignment="1">
      <alignment/>
      <protection/>
    </xf>
    <xf numFmtId="0" fontId="62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63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64" fillId="0" borderId="0" xfId="61" applyFont="1">
      <alignment/>
      <protection/>
    </xf>
    <xf numFmtId="0" fontId="65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1" fontId="6" fillId="0" borderId="0" xfId="61" applyNumberFormat="1" applyFont="1">
      <alignment/>
      <protection/>
    </xf>
    <xf numFmtId="0" fontId="4" fillId="0" borderId="0" xfId="60">
      <alignment/>
      <protection/>
    </xf>
    <xf numFmtId="0" fontId="69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70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71" fillId="0" borderId="10" xfId="60" applyFont="1" applyBorder="1" applyAlignment="1">
      <alignment horizontal="center" vertical="center"/>
      <protection/>
    </xf>
    <xf numFmtId="0" fontId="72" fillId="7" borderId="10" xfId="60" applyFont="1" applyFill="1" applyBorder="1" applyAlignment="1">
      <alignment horizontal="center" vertical="center"/>
      <protection/>
    </xf>
    <xf numFmtId="0" fontId="72" fillId="25" borderId="10" xfId="60" applyFont="1" applyFill="1" applyBorder="1" applyAlignment="1">
      <alignment horizontal="center" vertical="center"/>
      <protection/>
    </xf>
    <xf numFmtId="0" fontId="72" fillId="0" borderId="10" xfId="60" applyFont="1" applyFill="1" applyBorder="1" applyAlignment="1">
      <alignment horizontal="center" vertical="center"/>
      <protection/>
    </xf>
    <xf numFmtId="0" fontId="72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54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4" fillId="4" borderId="10" xfId="60" applyFont="1" applyFill="1" applyBorder="1" applyAlignment="1">
      <alignment horizontal="center" vertical="center" textRotation="90" wrapText="1"/>
      <protection/>
    </xf>
    <xf numFmtId="0" fontId="74" fillId="0" borderId="10" xfId="60" applyFont="1" applyBorder="1" applyAlignment="1">
      <alignment horizontal="center" vertical="center" textRotation="90" wrapText="1"/>
      <protection/>
    </xf>
    <xf numFmtId="0" fontId="74" fillId="24" borderId="10" xfId="60" applyFont="1" applyFill="1" applyBorder="1" applyAlignment="1">
      <alignment horizontal="center" vertical="center" textRotation="90" wrapText="1"/>
      <protection/>
    </xf>
    <xf numFmtId="0" fontId="74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72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6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68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80" fillId="0" borderId="1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173" fontId="78" fillId="0" borderId="10" xfId="0" applyNumberFormat="1" applyFont="1" applyFill="1" applyBorder="1" applyAlignment="1">
      <alignment vertical="center" wrapText="1"/>
    </xf>
    <xf numFmtId="1" fontId="78" fillId="0" borderId="10" xfId="0" applyNumberFormat="1" applyFont="1" applyFill="1" applyBorder="1" applyAlignment="1">
      <alignment vertical="center" wrapText="1"/>
    </xf>
    <xf numFmtId="1" fontId="55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13" fillId="0" borderId="0" xfId="57" applyNumberFormat="1" applyFont="1" applyAlignment="1">
      <alignment wrapText="1"/>
      <protection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2" fillId="0" borderId="12" xfId="57" applyFont="1" applyBorder="1" applyAlignment="1">
      <alignment vertical="center" wrapText="1"/>
      <protection/>
    </xf>
    <xf numFmtId="0" fontId="83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72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10" fontId="60" fillId="0" borderId="10" xfId="65" applyNumberFormat="1" applyFont="1" applyFill="1" applyBorder="1" applyAlignment="1">
      <alignment vertical="center" wrapText="1"/>
    </xf>
    <xf numFmtId="1" fontId="57" fillId="0" borderId="0" xfId="0" applyNumberFormat="1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horizontal="right" vertical="center"/>
    </xf>
    <xf numFmtId="0" fontId="79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6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89" fillId="0" borderId="0" xfId="0" applyNumberFormat="1" applyFont="1" applyAlignment="1">
      <alignment wrapText="1"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1" fontId="89" fillId="0" borderId="0" xfId="0" applyNumberFormat="1" applyFont="1" applyAlignment="1">
      <alignment horizontal="right" wrapText="1"/>
    </xf>
    <xf numFmtId="10" fontId="90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9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83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9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vertical="center" wrapText="1"/>
    </xf>
    <xf numFmtId="9" fontId="93" fillId="0" borderId="10" xfId="65" applyFont="1" applyFill="1" applyBorder="1" applyAlignment="1">
      <alignment vertical="center" wrapText="1"/>
    </xf>
    <xf numFmtId="10" fontId="95" fillId="0" borderId="10" xfId="65" applyNumberFormat="1" applyFont="1" applyFill="1" applyBorder="1" applyAlignment="1">
      <alignment vertical="center" wrapText="1"/>
    </xf>
    <xf numFmtId="2" fontId="94" fillId="11" borderId="10" xfId="0" applyNumberFormat="1" applyFont="1" applyFill="1" applyBorder="1" applyAlignment="1">
      <alignment vertical="center" wrapText="1"/>
    </xf>
    <xf numFmtId="0" fontId="80" fillId="26" borderId="10" xfId="57" applyFont="1" applyFill="1" applyBorder="1" applyAlignment="1">
      <alignment horizontal="center" vertical="center" wrapText="1"/>
      <protection/>
    </xf>
    <xf numFmtId="10" fontId="60" fillId="0" borderId="0" xfId="65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4" fontId="8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8" fillId="0" borderId="10" xfId="0" applyNumberFormat="1" applyFont="1" applyFill="1" applyBorder="1" applyAlignment="1">
      <alignment horizontal="right" vertical="center" wrapText="1"/>
    </xf>
    <xf numFmtId="172" fontId="77" fillId="0" borderId="10" xfId="0" applyNumberFormat="1" applyFont="1" applyFill="1" applyBorder="1" applyAlignment="1">
      <alignment horizontal="right" vertical="center" wrapText="1"/>
    </xf>
    <xf numFmtId="172" fontId="88" fillId="0" borderId="10" xfId="0" applyNumberFormat="1" applyFont="1" applyFill="1" applyBorder="1" applyAlignment="1">
      <alignment vertical="center" wrapText="1"/>
    </xf>
    <xf numFmtId="172" fontId="61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9" fontId="93" fillId="0" borderId="0" xfId="65" applyFont="1" applyFill="1" applyBorder="1" applyAlignment="1">
      <alignment vertical="center" wrapText="1"/>
    </xf>
    <xf numFmtId="10" fontId="95" fillId="0" borderId="0" xfId="65" applyNumberFormat="1" applyFont="1" applyFill="1" applyBorder="1" applyAlignment="1">
      <alignment vertical="center" wrapText="1"/>
    </xf>
    <xf numFmtId="10" fontId="90" fillId="0" borderId="0" xfId="65" applyNumberFormat="1" applyFont="1" applyFill="1" applyBorder="1" applyAlignment="1">
      <alignment vertical="center" wrapText="1"/>
    </xf>
    <xf numFmtId="10" fontId="60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0" fontId="78" fillId="0" borderId="15" xfId="0" applyFont="1" applyFill="1" applyBorder="1" applyAlignment="1">
      <alignment vertical="center" wrapText="1"/>
    </xf>
    <xf numFmtId="0" fontId="89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7" fillId="0" borderId="15" xfId="0" applyFont="1" applyFill="1" applyBorder="1" applyAlignment="1">
      <alignment horizontal="center" vertical="center"/>
    </xf>
    <xf numFmtId="1" fontId="101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77" fillId="0" borderId="17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right" vertical="center"/>
    </xf>
    <xf numFmtId="0" fontId="88" fillId="0" borderId="17" xfId="0" applyFont="1" applyFill="1" applyBorder="1" applyAlignment="1">
      <alignment horizontal="right" vertical="center" wrapText="1"/>
    </xf>
    <xf numFmtId="0" fontId="77" fillId="0" borderId="17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vertical="center" wrapText="1"/>
    </xf>
    <xf numFmtId="0" fontId="100" fillId="0" borderId="12" xfId="57" applyFont="1" applyBorder="1" applyAlignment="1">
      <alignment vertical="center" wrapText="1"/>
      <protection/>
    </xf>
    <xf numFmtId="1" fontId="8" fillId="0" borderId="0" xfId="61" applyNumberFormat="1" applyFont="1" applyBorder="1">
      <alignment/>
      <protection/>
    </xf>
    <xf numFmtId="0" fontId="68" fillId="0" borderId="0" xfId="0" applyFont="1" applyAlignment="1">
      <alignment horizontal="right"/>
    </xf>
    <xf numFmtId="0" fontId="100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172" fontId="60" fillId="0" borderId="0" xfId="0" applyNumberFormat="1" applyFont="1" applyFill="1" applyAlignment="1">
      <alignment vertical="center" wrapText="1"/>
    </xf>
    <xf numFmtId="1" fontId="6" fillId="0" borderId="0" xfId="61" applyNumberFormat="1" applyFont="1" applyBorder="1">
      <alignment/>
      <protection/>
    </xf>
    <xf numFmtId="1" fontId="85" fillId="0" borderId="0" xfId="61" applyNumberFormat="1" applyFont="1" applyBorder="1" applyAlignment="1">
      <alignment/>
      <protection/>
    </xf>
    <xf numFmtId="1" fontId="68" fillId="0" borderId="0" xfId="61" applyNumberFormat="1" applyFont="1" applyBorder="1" applyAlignment="1">
      <alignment/>
      <protection/>
    </xf>
    <xf numFmtId="1" fontId="15" fillId="0" borderId="0" xfId="61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172" fontId="21" fillId="0" borderId="0" xfId="57" applyNumberFormat="1" applyFont="1">
      <alignment/>
      <protection/>
    </xf>
    <xf numFmtId="0" fontId="13" fillId="0" borderId="0" xfId="57" applyFont="1">
      <alignment/>
      <protection/>
    </xf>
    <xf numFmtId="2" fontId="8" fillId="0" borderId="0" xfId="61" applyNumberFormat="1" applyFont="1" applyBorder="1" applyAlignment="1">
      <alignment vertical="center"/>
      <protection/>
    </xf>
    <xf numFmtId="2" fontId="6" fillId="0" borderId="0" xfId="61" applyNumberFormat="1" applyFont="1" applyBorder="1" applyAlignment="1">
      <alignment vertical="center"/>
      <protection/>
    </xf>
    <xf numFmtId="2" fontId="13" fillId="0" borderId="0" xfId="61" applyNumberFormat="1" applyFont="1" applyBorder="1" applyAlignment="1">
      <alignment horizontal="center" vertical="center"/>
      <protection/>
    </xf>
    <xf numFmtId="2" fontId="18" fillId="0" borderId="0" xfId="61" applyNumberFormat="1" applyFont="1" applyBorder="1" applyAlignment="1">
      <alignment horizontal="center" vertical="center"/>
      <protection/>
    </xf>
    <xf numFmtId="2" fontId="8" fillId="0" borderId="0" xfId="61" applyNumberFormat="1" applyFont="1">
      <alignment/>
      <protection/>
    </xf>
    <xf numFmtId="2" fontId="8" fillId="0" borderId="0" xfId="61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2" fontId="18" fillId="0" borderId="0" xfId="61" applyNumberFormat="1" applyFont="1" applyAlignment="1">
      <alignment/>
      <protection/>
    </xf>
    <xf numFmtId="2" fontId="68" fillId="0" borderId="0" xfId="61" applyNumberFormat="1" applyFont="1" applyAlignment="1">
      <alignment/>
      <protection/>
    </xf>
    <xf numFmtId="172" fontId="12" fillId="0" borderId="0" xfId="61" applyNumberFormat="1" applyFont="1" applyAlignment="1">
      <alignment horizontal="center" vertical="center" textRotation="90"/>
      <protection/>
    </xf>
    <xf numFmtId="2" fontId="8" fillId="0" borderId="0" xfId="61" applyNumberFormat="1" applyFont="1" applyBorder="1">
      <alignment/>
      <protection/>
    </xf>
    <xf numFmtId="0" fontId="118" fillId="0" borderId="0" xfId="0" applyFont="1" applyAlignment="1">
      <alignment/>
    </xf>
    <xf numFmtId="0" fontId="119" fillId="0" borderId="12" xfId="57" applyFont="1" applyBorder="1" applyAlignment="1">
      <alignment vertical="center" wrapText="1"/>
      <protection/>
    </xf>
    <xf numFmtId="2" fontId="21" fillId="0" borderId="0" xfId="57" applyNumberFormat="1" applyFont="1">
      <alignment/>
      <protection/>
    </xf>
    <xf numFmtId="173" fontId="60" fillId="0" borderId="0" xfId="0" applyNumberFormat="1" applyFont="1" applyAlignment="1">
      <alignment wrapText="1"/>
    </xf>
    <xf numFmtId="2" fontId="6" fillId="0" borderId="0" xfId="61" applyNumberFormat="1" applyFont="1" applyAlignment="1">
      <alignment/>
      <protection/>
    </xf>
    <xf numFmtId="2" fontId="13" fillId="0" borderId="0" xfId="0" applyNumberFormat="1" applyFont="1" applyAlignment="1">
      <alignment horizontal="center"/>
    </xf>
    <xf numFmtId="176" fontId="14" fillId="0" borderId="0" xfId="57" applyNumberFormat="1" applyFont="1" applyFill="1">
      <alignment/>
      <protection/>
    </xf>
    <xf numFmtId="180" fontId="14" fillId="0" borderId="0" xfId="57" applyNumberFormat="1" applyFont="1">
      <alignment/>
      <protection/>
    </xf>
    <xf numFmtId="172" fontId="21" fillId="0" borderId="0" xfId="57" applyNumberFormat="1" applyFont="1" applyAlignment="1">
      <alignment wrapText="1"/>
      <protection/>
    </xf>
    <xf numFmtId="0" fontId="120" fillId="0" borderId="0" xfId="57" applyFont="1" applyAlignment="1">
      <alignment horizontal="right" vertical="center"/>
      <protection/>
    </xf>
    <xf numFmtId="173" fontId="68" fillId="0" borderId="10" xfId="57" applyNumberFormat="1" applyFont="1" applyBorder="1" applyAlignment="1">
      <alignment horizontal="right" wrapText="1"/>
      <protection/>
    </xf>
    <xf numFmtId="0" fontId="99" fillId="0" borderId="0" xfId="57" applyFont="1" applyFill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79" fillId="0" borderId="0" xfId="57" applyFont="1" applyAlignment="1">
      <alignment horizontal="right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00" fillId="0" borderId="12" xfId="57" applyFont="1" applyBorder="1" applyAlignment="1">
      <alignment horizontal="center" vertical="center" wrapText="1"/>
      <protection/>
    </xf>
    <xf numFmtId="0" fontId="121" fillId="0" borderId="12" xfId="57" applyFont="1" applyBorder="1" applyAlignment="1">
      <alignment horizontal="center" vertical="center" wrapText="1"/>
      <protection/>
    </xf>
    <xf numFmtId="0" fontId="120" fillId="0" borderId="12" xfId="57" applyFont="1" applyBorder="1" applyAlignment="1">
      <alignment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72" fontId="102" fillId="0" borderId="15" xfId="0" applyNumberFormat="1" applyFont="1" applyBorder="1" applyAlignment="1">
      <alignment horizontal="right"/>
    </xf>
    <xf numFmtId="172" fontId="102" fillId="0" borderId="14" xfId="0" applyNumberFormat="1" applyFont="1" applyBorder="1" applyAlignment="1">
      <alignment horizontal="right"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66" fillId="0" borderId="0" xfId="61" applyFont="1" applyFill="1" applyBorder="1" applyAlignment="1">
      <alignment horizontal="center"/>
      <protection/>
    </xf>
    <xf numFmtId="0" fontId="66" fillId="0" borderId="0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19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66" fillId="0" borderId="22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1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1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84" fillId="0" borderId="17" xfId="60" applyFont="1" applyBorder="1" applyAlignment="1">
      <alignment horizontal="center" vertical="center" wrapText="1"/>
      <protection/>
    </xf>
    <xf numFmtId="0" fontId="84" fillId="0" borderId="18" xfId="60" applyFont="1" applyBorder="1" applyAlignment="1">
      <alignment horizontal="center" vertical="center" wrapText="1"/>
      <protection/>
    </xf>
    <xf numFmtId="0" fontId="84" fillId="0" borderId="16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96" fillId="0" borderId="10" xfId="0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right" vertical="center"/>
    </xf>
    <xf numFmtId="0" fontId="77" fillId="0" borderId="14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7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828675</xdr:colOff>
      <xdr:row>6</xdr:row>
      <xdr:rowOff>180975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81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'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10%20Jalpaigu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R%20NOV\Nov-10%20Jalpaigu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ec-10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P12">
            <v>2.5791595999999997</v>
          </cell>
        </row>
        <row r="13">
          <cell r="P13">
            <v>2.32439</v>
          </cell>
        </row>
        <row r="14">
          <cell r="P14">
            <v>8.474329999999998</v>
          </cell>
        </row>
        <row r="15">
          <cell r="P15">
            <v>3.14058</v>
          </cell>
        </row>
        <row r="16">
          <cell r="P16">
            <v>3.3036999999999996</v>
          </cell>
        </row>
        <row r="17">
          <cell r="P17">
            <v>7.7332</v>
          </cell>
        </row>
        <row r="18">
          <cell r="P18">
            <v>3.94363</v>
          </cell>
        </row>
        <row r="19">
          <cell r="P19">
            <v>4.06574</v>
          </cell>
        </row>
        <row r="20">
          <cell r="P20">
            <v>1.90658</v>
          </cell>
        </row>
        <row r="21">
          <cell r="P21">
            <v>4.506810000000001</v>
          </cell>
        </row>
        <row r="22">
          <cell r="P22">
            <v>1.29462</v>
          </cell>
        </row>
        <row r="23">
          <cell r="P23">
            <v>1.8705219999999998</v>
          </cell>
        </row>
        <row r="24">
          <cell r="P24">
            <v>1.66196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O13">
            <v>0.50363</v>
          </cell>
          <cell r="R13">
            <v>0.11532</v>
          </cell>
        </row>
        <row r="14">
          <cell r="O14">
            <v>1.5777</v>
          </cell>
          <cell r="R14">
            <v>0.14178</v>
          </cell>
        </row>
        <row r="15">
          <cell r="O15">
            <v>2.33612</v>
          </cell>
          <cell r="R15">
            <v>0.49823</v>
          </cell>
        </row>
        <row r="16">
          <cell r="O16">
            <v>0.96977</v>
          </cell>
          <cell r="R16">
            <v>0.11745</v>
          </cell>
        </row>
        <row r="17">
          <cell r="O17">
            <v>0.64424</v>
          </cell>
          <cell r="R17">
            <v>0.02875</v>
          </cell>
        </row>
        <row r="18">
          <cell r="O18">
            <v>1.4333</v>
          </cell>
          <cell r="R18">
            <v>0.37746</v>
          </cell>
        </row>
        <row r="19">
          <cell r="O19">
            <v>1.46174</v>
          </cell>
          <cell r="R19">
            <v>0.28625</v>
          </cell>
        </row>
        <row r="20">
          <cell r="O20">
            <v>1.38671</v>
          </cell>
          <cell r="R20">
            <v>0.25525</v>
          </cell>
        </row>
        <row r="21">
          <cell r="O21">
            <v>0.46839</v>
          </cell>
          <cell r="R21">
            <v>0.08984</v>
          </cell>
        </row>
        <row r="22">
          <cell r="O22">
            <v>0.80157</v>
          </cell>
          <cell r="R22">
            <v>0.09635</v>
          </cell>
        </row>
        <row r="23">
          <cell r="O23">
            <v>0.40852</v>
          </cell>
          <cell r="R23">
            <v>0.08007</v>
          </cell>
        </row>
        <row r="24">
          <cell r="O24">
            <v>0.60948</v>
          </cell>
          <cell r="R24">
            <v>0.29007</v>
          </cell>
        </row>
        <row r="25">
          <cell r="O25">
            <v>0.55486</v>
          </cell>
          <cell r="R25">
            <v>0.16861999999999996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26">
          <cell r="P26">
            <v>53.47702999999999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0">
        <row r="13">
          <cell r="R13">
            <v>0.62158</v>
          </cell>
          <cell r="U13">
            <v>0.12962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view="pageBreakPreview" zoomScale="70" zoomScaleNormal="70" zoomScaleSheetLayoutView="70" zoomScalePageLayoutView="0" workbookViewId="0" topLeftCell="A1">
      <selection activeCell="P14" sqref="P14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5" width="8.421875" style="1" customWidth="1"/>
    <col min="6" max="6" width="9.421875" style="1" bestFit="1" customWidth="1"/>
    <col min="7" max="7" width="9.00390625" style="1" customWidth="1"/>
    <col min="8" max="8" width="11.421875" style="1" customWidth="1"/>
    <col min="9" max="9" width="11.57421875" style="199" customWidth="1"/>
    <col min="10" max="10" width="11.8515625" style="1" customWidth="1"/>
    <col min="11" max="11" width="10.140625" style="1" customWidth="1"/>
    <col min="12" max="12" width="10.8515625" style="199" customWidth="1"/>
    <col min="13" max="13" width="9.8515625" style="1" customWidth="1"/>
    <col min="14" max="14" width="9.7109375" style="1" customWidth="1"/>
    <col min="15" max="15" width="9.421875" style="1" customWidth="1"/>
    <col min="16" max="16" width="10.8515625" style="1" customWidth="1"/>
    <col min="17" max="17" width="9.421875" style="1" customWidth="1"/>
    <col min="18" max="19" width="8.8515625" style="1" customWidth="1"/>
    <col min="20" max="20" width="7.7109375" style="1" customWidth="1"/>
    <col min="21" max="21" width="7.421875" style="1" customWidth="1"/>
    <col min="22" max="22" width="9.140625" style="1" customWidth="1"/>
    <col min="23" max="23" width="11.57421875" style="1" bestFit="1" customWidth="1"/>
    <col min="24" max="28" width="11.57421875" style="1" hidden="1" customWidth="1"/>
    <col min="29" max="30" width="9.140625" style="1" customWidth="1"/>
    <col min="31" max="37" width="9.140625" style="1" hidden="1" customWidth="1"/>
    <col min="38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7"/>
      <c r="Q1" s="337"/>
      <c r="R1" s="337"/>
      <c r="S1" s="337"/>
      <c r="T1" s="2"/>
    </row>
    <row r="2" spans="1:21" s="4" customFormat="1" ht="31.5" customHeight="1">
      <c r="A2" s="338" t="s">
        <v>138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39" t="s">
        <v>37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40" t="s">
        <v>142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1:21" ht="16.5">
      <c r="A7" s="26"/>
      <c r="T7" s="341" t="s">
        <v>21</v>
      </c>
      <c r="U7" s="341"/>
    </row>
    <row r="8" spans="1:21" s="140" customFormat="1" ht="16.5">
      <c r="A8" s="342">
        <v>1</v>
      </c>
      <c r="B8" s="342">
        <v>2</v>
      </c>
      <c r="C8" s="139"/>
      <c r="D8" s="342">
        <v>3</v>
      </c>
      <c r="E8" s="342"/>
      <c r="F8" s="342"/>
      <c r="G8" s="342"/>
      <c r="H8" s="348">
        <v>4</v>
      </c>
      <c r="I8" s="350">
        <v>5</v>
      </c>
      <c r="J8" s="342">
        <v>6</v>
      </c>
      <c r="K8" s="342">
        <v>7</v>
      </c>
      <c r="L8" s="350">
        <v>8</v>
      </c>
      <c r="M8" s="334">
        <v>9</v>
      </c>
      <c r="N8" s="335"/>
      <c r="O8" s="335"/>
      <c r="P8" s="335"/>
      <c r="Q8" s="336"/>
      <c r="R8" s="233"/>
      <c r="S8" s="342">
        <v>10</v>
      </c>
      <c r="T8" s="342">
        <v>11</v>
      </c>
      <c r="U8" s="342">
        <v>12</v>
      </c>
    </row>
    <row r="9" spans="1:21" s="140" customFormat="1" ht="16.5">
      <c r="A9" s="342"/>
      <c r="B9" s="342"/>
      <c r="C9" s="139"/>
      <c r="D9" s="139" t="s">
        <v>16</v>
      </c>
      <c r="E9" s="139" t="s">
        <v>17</v>
      </c>
      <c r="F9" s="139" t="s">
        <v>18</v>
      </c>
      <c r="G9" s="139" t="s">
        <v>19</v>
      </c>
      <c r="H9" s="349"/>
      <c r="I9" s="350">
        <v>5</v>
      </c>
      <c r="J9" s="342">
        <v>6</v>
      </c>
      <c r="K9" s="342">
        <v>7</v>
      </c>
      <c r="L9" s="350">
        <v>8</v>
      </c>
      <c r="M9" s="139" t="s">
        <v>16</v>
      </c>
      <c r="N9" s="139" t="s">
        <v>17</v>
      </c>
      <c r="O9" s="139" t="s">
        <v>18</v>
      </c>
      <c r="P9" s="139" t="s">
        <v>19</v>
      </c>
      <c r="Q9" s="139" t="s">
        <v>20</v>
      </c>
      <c r="R9" s="139"/>
      <c r="S9" s="342"/>
      <c r="T9" s="342"/>
      <c r="U9" s="342"/>
    </row>
    <row r="10" spans="1:28" s="44" customFormat="1" ht="57" customHeight="1">
      <c r="A10" s="332" t="s">
        <v>0</v>
      </c>
      <c r="B10" s="332" t="s">
        <v>22</v>
      </c>
      <c r="C10" s="346" t="s">
        <v>105</v>
      </c>
      <c r="D10" s="332" t="s">
        <v>1</v>
      </c>
      <c r="E10" s="332"/>
      <c r="F10" s="332"/>
      <c r="G10" s="332"/>
      <c r="H10" s="346" t="s">
        <v>6</v>
      </c>
      <c r="I10" s="419" t="s">
        <v>7</v>
      </c>
      <c r="J10" s="420" t="s">
        <v>8</v>
      </c>
      <c r="K10" s="420" t="s">
        <v>9</v>
      </c>
      <c r="L10" s="419" t="s">
        <v>10</v>
      </c>
      <c r="M10" s="343" t="s">
        <v>11</v>
      </c>
      <c r="N10" s="344"/>
      <c r="O10" s="344"/>
      <c r="P10" s="344"/>
      <c r="Q10" s="344"/>
      <c r="R10" s="345"/>
      <c r="S10" s="332" t="s">
        <v>13</v>
      </c>
      <c r="T10" s="332" t="s">
        <v>14</v>
      </c>
      <c r="U10" s="332" t="s">
        <v>15</v>
      </c>
      <c r="V10" s="333" t="s">
        <v>107</v>
      </c>
      <c r="W10" s="332" t="s">
        <v>108</v>
      </c>
      <c r="X10" s="258"/>
      <c r="Y10" s="258"/>
      <c r="Z10" s="258"/>
      <c r="AA10" s="258"/>
      <c r="AB10" s="258"/>
    </row>
    <row r="11" spans="1:53" s="44" customFormat="1" ht="111.75" customHeight="1">
      <c r="A11" s="332"/>
      <c r="B11" s="332"/>
      <c r="C11" s="347"/>
      <c r="D11" s="43" t="s">
        <v>2</v>
      </c>
      <c r="E11" s="43" t="s">
        <v>3</v>
      </c>
      <c r="F11" s="43" t="s">
        <v>4</v>
      </c>
      <c r="G11" s="43" t="s">
        <v>5</v>
      </c>
      <c r="H11" s="347"/>
      <c r="I11" s="419"/>
      <c r="J11" s="420"/>
      <c r="K11" s="420"/>
      <c r="L11" s="419"/>
      <c r="M11" s="254" t="s">
        <v>2</v>
      </c>
      <c r="N11" s="254" t="s">
        <v>3</v>
      </c>
      <c r="O11" s="254" t="s">
        <v>4</v>
      </c>
      <c r="P11" s="254" t="s">
        <v>5</v>
      </c>
      <c r="Q11" s="254" t="s">
        <v>12</v>
      </c>
      <c r="R11" s="254" t="s">
        <v>121</v>
      </c>
      <c r="S11" s="332"/>
      <c r="T11" s="332"/>
      <c r="U11" s="332"/>
      <c r="V11" s="333"/>
      <c r="W11" s="332"/>
      <c r="X11" s="258"/>
      <c r="Y11" s="258"/>
      <c r="Z11" s="258"/>
      <c r="AA11" s="258"/>
      <c r="AB11" s="258"/>
      <c r="AY11" s="44" t="s">
        <v>139</v>
      </c>
      <c r="BA11" s="44" t="s">
        <v>12</v>
      </c>
    </row>
    <row r="12" spans="1:48" s="257" customFormat="1" ht="15.75">
      <c r="A12" s="254">
        <v>1</v>
      </c>
      <c r="B12" s="254">
        <v>2</v>
      </c>
      <c r="C12" s="255"/>
      <c r="D12" s="254" t="s">
        <v>123</v>
      </c>
      <c r="E12" s="254" t="s">
        <v>124</v>
      </c>
      <c r="F12" s="254" t="s">
        <v>125</v>
      </c>
      <c r="G12" s="254" t="s">
        <v>126</v>
      </c>
      <c r="H12" s="255">
        <v>4</v>
      </c>
      <c r="I12" s="416">
        <v>5</v>
      </c>
      <c r="J12" s="421">
        <v>6</v>
      </c>
      <c r="K12" s="421">
        <v>7</v>
      </c>
      <c r="L12" s="416">
        <v>8</v>
      </c>
      <c r="M12" s="254" t="s">
        <v>127</v>
      </c>
      <c r="N12" s="254" t="s">
        <v>128</v>
      </c>
      <c r="O12" s="254" t="s">
        <v>129</v>
      </c>
      <c r="P12" s="254" t="s">
        <v>130</v>
      </c>
      <c r="Q12" s="254" t="s">
        <v>131</v>
      </c>
      <c r="R12" s="254" t="s">
        <v>122</v>
      </c>
      <c r="S12" s="254">
        <v>10</v>
      </c>
      <c r="T12" s="254">
        <v>11</v>
      </c>
      <c r="U12" s="254">
        <v>12</v>
      </c>
      <c r="V12" s="256"/>
      <c r="W12" s="254"/>
      <c r="X12" s="259"/>
      <c r="Y12" s="259"/>
      <c r="Z12" s="259"/>
      <c r="AA12" s="259"/>
      <c r="AB12" s="259"/>
      <c r="AS12" s="257" t="s">
        <v>2</v>
      </c>
      <c r="AT12" s="257" t="s">
        <v>3</v>
      </c>
      <c r="AU12" s="257" t="s">
        <v>4</v>
      </c>
      <c r="AV12" s="257" t="s">
        <v>5</v>
      </c>
    </row>
    <row r="13" spans="1:63" s="208" customFormat="1" ht="26.25" customHeight="1">
      <c r="A13" s="203">
        <v>1</v>
      </c>
      <c r="B13" s="204" t="s">
        <v>23</v>
      </c>
      <c r="C13" s="205">
        <v>39654</v>
      </c>
      <c r="D13" s="205">
        <v>20965</v>
      </c>
      <c r="E13" s="205">
        <v>8631</v>
      </c>
      <c r="F13" s="205">
        <v>10108</v>
      </c>
      <c r="G13" s="168">
        <f aca="true" t="shared" si="0" ref="G13:G25">SUM(D13:F13)</f>
        <v>39704</v>
      </c>
      <c r="H13" s="206">
        <v>20125</v>
      </c>
      <c r="I13" s="417"/>
      <c r="J13" s="207">
        <v>20028</v>
      </c>
      <c r="K13" s="206">
        <v>9002</v>
      </c>
      <c r="L13" s="207"/>
      <c r="M13" s="248">
        <v>2.49381</v>
      </c>
      <c r="N13" s="248">
        <v>0.84109</v>
      </c>
      <c r="O13" s="248">
        <v>0.69893</v>
      </c>
      <c r="P13" s="249">
        <f>SUM(M13:O13)</f>
        <v>4.03383</v>
      </c>
      <c r="Q13" s="250">
        <v>1.539152015830035</v>
      </c>
      <c r="R13" s="250">
        <v>0.14575003475015286</v>
      </c>
      <c r="S13" s="206">
        <v>40</v>
      </c>
      <c r="T13" s="206">
        <v>1494</v>
      </c>
      <c r="U13" s="206">
        <v>26</v>
      </c>
      <c r="V13" s="234">
        <f aca="true" t="shared" si="1" ref="V13:V27">(P13*100000)/J13</f>
        <v>20.140952666267225</v>
      </c>
      <c r="W13" s="235">
        <f aca="true" t="shared" si="2" ref="W13:W27">Q13/P13</f>
        <v>0.38156095220424135</v>
      </c>
      <c r="X13" s="260">
        <f aca="true" t="shared" si="3" ref="X13:X22">Q13/P13</f>
        <v>0.38156095220424135</v>
      </c>
      <c r="Y13" s="260">
        <f aca="true" t="shared" si="4" ref="Y13:Y22">R13/O13</f>
        <v>0.2085330930853631</v>
      </c>
      <c r="Z13" s="208">
        <f>ROUND(X13*'[2]Part-I'!P12,5)</f>
        <v>0.25665</v>
      </c>
      <c r="AA13" s="208">
        <f>ROUND(Y13*'[2]Part-I'!O12,5)</f>
        <v>0.02985</v>
      </c>
      <c r="AB13" s="208">
        <v>114.88066078375068</v>
      </c>
      <c r="AC13" s="208">
        <v>100.5629462150548</v>
      </c>
      <c r="AD13" s="208">
        <v>4.0338283</v>
      </c>
      <c r="AL13" s="208">
        <v>4.0338283</v>
      </c>
      <c r="AM13" s="208">
        <f>AL13-AD13</f>
        <v>0</v>
      </c>
      <c r="AN13" s="208">
        <f>'Part-II'!K13/'Part-I'!AL13</f>
        <v>97.83350223409361</v>
      </c>
      <c r="AO13" s="208">
        <v>3.2671058000000004</v>
      </c>
      <c r="AP13" s="208">
        <f>M13/$P13</f>
        <v>0.6182238716058931</v>
      </c>
      <c r="AQ13" s="208">
        <f>N13/$P13</f>
        <v>0.20850903483785882</v>
      </c>
      <c r="AR13" s="208">
        <f>O13/$P13</f>
        <v>0.17326709355624803</v>
      </c>
      <c r="AS13" s="208">
        <f>ROUND(AP13*$AL13,5)</f>
        <v>2.49381</v>
      </c>
      <c r="AT13" s="208">
        <f>ROUND(AQ13*$AL13,5)</f>
        <v>0.84109</v>
      </c>
      <c r="AU13" s="208">
        <f>ROUND(AR13*$AL13,5)</f>
        <v>0.69893</v>
      </c>
      <c r="AV13" s="287">
        <f>SUM(AS13:AU13)</f>
        <v>4.03383</v>
      </c>
      <c r="AW13" s="287">
        <v>0.98478</v>
      </c>
      <c r="AX13" s="287">
        <f>'[6]Part-I'!$U$13/'[6]Part-I'!$R$13</f>
        <v>0.2085330930853631</v>
      </c>
      <c r="AY13" s="208">
        <f>AX13*AU13</f>
        <v>0.14575003475015286</v>
      </c>
      <c r="AZ13" s="208">
        <v>0.38156095220424135</v>
      </c>
      <c r="BA13" s="287">
        <f>AV13*AZ13</f>
        <v>1.539152015830035</v>
      </c>
      <c r="BB13" s="287">
        <f>BA13-Q13</f>
        <v>0</v>
      </c>
      <c r="BC13" s="208">
        <f>'[4]Part-I'!R13/'[4]Part-I'!O13</f>
        <v>0.22897762246093362</v>
      </c>
      <c r="BD13" s="208">
        <f aca="true" t="shared" si="5" ref="BD13:BD25">BC13*O13</f>
        <v>0.16003932966662035</v>
      </c>
      <c r="BE13" s="287">
        <f>BD13-R13</f>
        <v>0.014289294916467493</v>
      </c>
      <c r="BF13" s="208">
        <v>7</v>
      </c>
      <c r="BG13" s="208">
        <v>1269</v>
      </c>
      <c r="BH13" s="208">
        <v>26</v>
      </c>
      <c r="BI13" s="208">
        <f>BF13-S13</f>
        <v>-33</v>
      </c>
      <c r="BJ13" s="208">
        <f>BG13-T13</f>
        <v>-225</v>
      </c>
      <c r="BK13" s="208">
        <f>BH13-U13</f>
        <v>0</v>
      </c>
    </row>
    <row r="14" spans="1:63" s="208" customFormat="1" ht="26.25" customHeight="1">
      <c r="A14" s="203">
        <v>2</v>
      </c>
      <c r="B14" s="204" t="s">
        <v>24</v>
      </c>
      <c r="C14" s="209">
        <v>44575</v>
      </c>
      <c r="D14" s="205">
        <v>19699</v>
      </c>
      <c r="E14" s="205">
        <v>9478</v>
      </c>
      <c r="F14" s="205">
        <v>12205</v>
      </c>
      <c r="G14" s="168">
        <f t="shared" si="0"/>
        <v>41382</v>
      </c>
      <c r="H14" s="206">
        <v>20737</v>
      </c>
      <c r="I14" s="417"/>
      <c r="J14" s="207">
        <v>20441</v>
      </c>
      <c r="K14" s="206">
        <v>9827</v>
      </c>
      <c r="L14" s="207"/>
      <c r="M14" s="248">
        <v>1.58404</v>
      </c>
      <c r="N14" s="248">
        <v>0.53076</v>
      </c>
      <c r="O14" s="248">
        <v>2.17422</v>
      </c>
      <c r="P14" s="249">
        <f aca="true" t="shared" si="6" ref="P14:P25">SUM(M14:O14)</f>
        <v>4.28902</v>
      </c>
      <c r="Q14" s="250">
        <v>1.3342860205099432</v>
      </c>
      <c r="R14" s="250">
        <v>0.45339682164805817</v>
      </c>
      <c r="S14" s="206">
        <v>29</v>
      </c>
      <c r="T14" s="207">
        <v>236</v>
      </c>
      <c r="U14" s="206">
        <v>29</v>
      </c>
      <c r="V14" s="234">
        <f t="shared" si="1"/>
        <v>20.982437258451153</v>
      </c>
      <c r="W14" s="235">
        <f t="shared" si="2"/>
        <v>0.31109344803939903</v>
      </c>
      <c r="X14" s="260">
        <f t="shared" si="3"/>
        <v>0.31109344803939903</v>
      </c>
      <c r="Y14" s="260">
        <f t="shared" si="4"/>
        <v>0.2085330930853631</v>
      </c>
      <c r="Z14" s="208">
        <f>ROUND(X14*'[2]Part-I'!P13,5)</f>
        <v>0.36819</v>
      </c>
      <c r="AA14" s="208">
        <f>ROUND(Y14*'[2]Part-I'!O13,5)</f>
        <v>0.07645</v>
      </c>
      <c r="AB14" s="208">
        <v>146.13720952178542</v>
      </c>
      <c r="AC14" s="208">
        <v>101.58987</v>
      </c>
      <c r="AD14" s="208">
        <v>2.95278</v>
      </c>
      <c r="AF14" s="239"/>
      <c r="AI14" s="240"/>
      <c r="AL14" s="208">
        <f>'Part-II'!K14/'Part-I'!AC14</f>
        <v>4.289026258228305</v>
      </c>
      <c r="AM14" s="208">
        <f aca="true" t="shared" si="7" ref="AM14:AM25">AL14-AD14</f>
        <v>1.336246258228305</v>
      </c>
      <c r="AN14" s="208">
        <f>'Part-II'!K14/'Part-I'!AL14</f>
        <v>101.58987</v>
      </c>
      <c r="AO14" s="208">
        <f>'Part-II'!K14/'Part-I'!AC14</f>
        <v>4.289026258228305</v>
      </c>
      <c r="AP14" s="208">
        <f aca="true" t="shared" si="8" ref="AP14:AP25">M14/$P14</f>
        <v>0.369324461065698</v>
      </c>
      <c r="AQ14" s="208">
        <f aca="true" t="shared" si="9" ref="AQ14:AQ25">N14/$P14</f>
        <v>0.12374854861949816</v>
      </c>
      <c r="AR14" s="208">
        <f aca="true" t="shared" si="10" ref="AR14:AR25">O14/$P14</f>
        <v>0.5069269903148039</v>
      </c>
      <c r="AS14" s="208">
        <f aca="true" t="shared" si="11" ref="AS14:AS25">ROUND(AP14*$AL14,5)</f>
        <v>1.58404</v>
      </c>
      <c r="AT14" s="208">
        <f aca="true" t="shared" si="12" ref="AT14:AT25">ROUND(AQ14*$AL14,5)</f>
        <v>0.53076</v>
      </c>
      <c r="AU14" s="208">
        <f aca="true" t="shared" si="13" ref="AU14:AU25">ROUND(AR14*$AL14,5)</f>
        <v>2.17422</v>
      </c>
      <c r="AV14" s="287">
        <f aca="true" t="shared" si="14" ref="AV14:AV25">SUM(AS14:AU14)</f>
        <v>4.28902</v>
      </c>
      <c r="AW14" s="287">
        <v>0.87223</v>
      </c>
      <c r="AX14" s="287">
        <f>'[6]Part-I'!$U$13/'[6]Part-I'!$R$13</f>
        <v>0.2085330930853631</v>
      </c>
      <c r="AY14" s="208">
        <f aca="true" t="shared" si="15" ref="AY14:AY25">AX14*AU14</f>
        <v>0.45339682164805817</v>
      </c>
      <c r="AZ14" s="208">
        <v>0.31109344803939903</v>
      </c>
      <c r="BA14" s="287">
        <f aca="true" t="shared" si="16" ref="BA14:BA25">AV14*AZ14</f>
        <v>1.3342860205099432</v>
      </c>
      <c r="BB14" s="287">
        <f aca="true" t="shared" si="17" ref="BB14:BB25">BA14-Q14</f>
        <v>0</v>
      </c>
      <c r="BC14" s="208">
        <f>'[4]Part-I'!R14/'[4]Part-I'!O14</f>
        <v>0.08986499334474234</v>
      </c>
      <c r="BD14" s="208">
        <f t="shared" si="5"/>
        <v>0.19538626583000568</v>
      </c>
      <c r="BE14" s="287">
        <f aca="true" t="shared" si="18" ref="BE14:BE25">BD14-R14</f>
        <v>-0.2580105558180525</v>
      </c>
      <c r="BF14" s="208">
        <v>16</v>
      </c>
      <c r="BG14" s="208">
        <v>256</v>
      </c>
      <c r="BH14" s="208">
        <v>29</v>
      </c>
      <c r="BI14" s="208">
        <f aca="true" t="shared" si="19" ref="BI14:BI25">BF14-S14</f>
        <v>-13</v>
      </c>
      <c r="BJ14" s="208">
        <f aca="true" t="shared" si="20" ref="BJ14:BJ25">BG14-T14</f>
        <v>20</v>
      </c>
      <c r="BK14" s="208">
        <f aca="true" t="shared" si="21" ref="BK14:BK25">BH14-U14</f>
        <v>0</v>
      </c>
    </row>
    <row r="15" spans="1:63" s="208" customFormat="1" ht="26.25" customHeight="1">
      <c r="A15" s="203">
        <v>3</v>
      </c>
      <c r="B15" s="204" t="s">
        <v>25</v>
      </c>
      <c r="C15" s="209">
        <v>80508</v>
      </c>
      <c r="D15" s="205">
        <v>39105</v>
      </c>
      <c r="E15" s="205">
        <v>16764</v>
      </c>
      <c r="F15" s="205">
        <v>21163</v>
      </c>
      <c r="G15" s="168">
        <f t="shared" si="0"/>
        <v>77032</v>
      </c>
      <c r="H15" s="206">
        <v>42968</v>
      </c>
      <c r="I15" s="417"/>
      <c r="J15" s="207">
        <v>42885</v>
      </c>
      <c r="K15" s="206">
        <v>9510</v>
      </c>
      <c r="L15" s="207"/>
      <c r="M15" s="248">
        <v>6.82666</v>
      </c>
      <c r="N15" s="248">
        <v>2.39953</v>
      </c>
      <c r="O15" s="248">
        <v>3.08707</v>
      </c>
      <c r="P15" s="249">
        <f t="shared" si="6"/>
        <v>12.313260000000001</v>
      </c>
      <c r="Q15" s="250">
        <v>5.540967000000001</v>
      </c>
      <c r="R15" s="250">
        <v>0.6437562556710319</v>
      </c>
      <c r="S15" s="206">
        <v>38</v>
      </c>
      <c r="T15" s="207">
        <v>602</v>
      </c>
      <c r="U15" s="206">
        <v>41</v>
      </c>
      <c r="V15" s="234">
        <f t="shared" si="1"/>
        <v>28.712277019937048</v>
      </c>
      <c r="W15" s="235">
        <f t="shared" si="2"/>
        <v>0.45</v>
      </c>
      <c r="X15" s="260">
        <f t="shared" si="3"/>
        <v>0.45</v>
      </c>
      <c r="Y15" s="260">
        <f t="shared" si="4"/>
        <v>0.2085330930853631</v>
      </c>
      <c r="Z15" s="208">
        <f>ROUND(X15*'[2]Part-I'!P14,5)</f>
        <v>1.39834</v>
      </c>
      <c r="AA15" s="208">
        <f>ROUND(Y15*'[2]Part-I'!O14,5)</f>
        <v>0.18348</v>
      </c>
      <c r="AB15" s="208">
        <v>99.95358654823086</v>
      </c>
      <c r="AC15" s="208">
        <v>100.05933705211298</v>
      </c>
      <c r="AD15" s="208">
        <v>11.595</v>
      </c>
      <c r="AL15" s="208">
        <f>'Part-II'!K15/'Part-I'!AC15</f>
        <v>12.313264271962138</v>
      </c>
      <c r="AM15" s="208">
        <f t="shared" si="7"/>
        <v>0.7182642719621377</v>
      </c>
      <c r="AN15" s="208">
        <f>'Part-II'!K15/'Part-I'!AL15</f>
        <v>100.05933705211298</v>
      </c>
      <c r="AO15" s="208">
        <f>'Part-II'!K15/'Part-I'!AC15</f>
        <v>12.313264271962138</v>
      </c>
      <c r="AP15" s="208">
        <f t="shared" si="8"/>
        <v>0.5544153213689956</v>
      </c>
      <c r="AQ15" s="208">
        <f t="shared" si="9"/>
        <v>0.19487365652962738</v>
      </c>
      <c r="AR15" s="208">
        <f t="shared" si="10"/>
        <v>0.25071102210137686</v>
      </c>
      <c r="AS15" s="208">
        <f t="shared" si="11"/>
        <v>6.82666</v>
      </c>
      <c r="AT15" s="208">
        <f t="shared" si="12"/>
        <v>2.39953</v>
      </c>
      <c r="AU15" s="208">
        <f t="shared" si="13"/>
        <v>3.08707</v>
      </c>
      <c r="AV15" s="287">
        <f t="shared" si="14"/>
        <v>12.313260000000001</v>
      </c>
      <c r="AW15" s="287">
        <v>2.98874</v>
      </c>
      <c r="AX15" s="287">
        <f>'[6]Part-I'!$U$13/'[6]Part-I'!$R$13</f>
        <v>0.2085330930853631</v>
      </c>
      <c r="AY15" s="208">
        <f t="shared" si="15"/>
        <v>0.6437562556710319</v>
      </c>
      <c r="AZ15" s="208">
        <v>0.45</v>
      </c>
      <c r="BA15" s="287">
        <f t="shared" si="16"/>
        <v>5.540967000000001</v>
      </c>
      <c r="BB15" s="287">
        <f t="shared" si="17"/>
        <v>0</v>
      </c>
      <c r="BC15" s="208">
        <f>'[4]Part-I'!R15/'[4]Part-I'!O15</f>
        <v>0.2132724346352071</v>
      </c>
      <c r="BD15" s="208">
        <f t="shared" si="5"/>
        <v>0.6583869347893088</v>
      </c>
      <c r="BE15" s="287">
        <f t="shared" si="18"/>
        <v>0.014630679118276868</v>
      </c>
      <c r="BF15" s="208">
        <v>0</v>
      </c>
      <c r="BG15" s="208">
        <v>912</v>
      </c>
      <c r="BH15" s="208">
        <v>41</v>
      </c>
      <c r="BI15" s="208">
        <f t="shared" si="19"/>
        <v>-38</v>
      </c>
      <c r="BJ15" s="208">
        <f t="shared" si="20"/>
        <v>310</v>
      </c>
      <c r="BK15" s="208">
        <f t="shared" si="21"/>
        <v>0</v>
      </c>
    </row>
    <row r="16" spans="1:63" s="208" customFormat="1" ht="26.25" customHeight="1">
      <c r="A16" s="203">
        <v>4</v>
      </c>
      <c r="B16" s="204" t="s">
        <v>26</v>
      </c>
      <c r="C16" s="209">
        <v>49083</v>
      </c>
      <c r="D16" s="205">
        <v>22167</v>
      </c>
      <c r="E16" s="205">
        <v>9586</v>
      </c>
      <c r="F16" s="205">
        <v>16396</v>
      </c>
      <c r="G16" s="168">
        <f t="shared" si="0"/>
        <v>48149</v>
      </c>
      <c r="H16" s="206">
        <v>21212</v>
      </c>
      <c r="I16" s="417"/>
      <c r="J16" s="207">
        <v>20192</v>
      </c>
      <c r="K16" s="206">
        <v>7504</v>
      </c>
      <c r="L16" s="207"/>
      <c r="M16" s="251">
        <v>2.07778</v>
      </c>
      <c r="N16" s="251">
        <v>0.82493</v>
      </c>
      <c r="O16" s="251">
        <v>1.36109</v>
      </c>
      <c r="P16" s="249">
        <f t="shared" si="6"/>
        <v>4.2638</v>
      </c>
      <c r="Q16" s="250">
        <v>1.8629079592801532</v>
      </c>
      <c r="R16" s="250">
        <v>0.28383230766755685</v>
      </c>
      <c r="S16" s="206">
        <v>167</v>
      </c>
      <c r="T16" s="207">
        <v>1746</v>
      </c>
      <c r="U16" s="206">
        <v>41</v>
      </c>
      <c r="V16" s="234">
        <f t="shared" si="1"/>
        <v>21.116283676703645</v>
      </c>
      <c r="W16" s="235">
        <f t="shared" si="2"/>
        <v>0.43691260361183765</v>
      </c>
      <c r="X16" s="260">
        <f t="shared" si="3"/>
        <v>0.43691260361183765</v>
      </c>
      <c r="Y16" s="260">
        <f t="shared" si="4"/>
        <v>0.2085330930853631</v>
      </c>
      <c r="Z16" s="208">
        <f>ROUND(X16*'[2]Part-I'!P15,5)</f>
        <v>0.66264</v>
      </c>
      <c r="AA16" s="208">
        <f>ROUND(Y16*'[2]Part-I'!O15,5)</f>
        <v>0.08436</v>
      </c>
      <c r="AB16" s="208">
        <v>103.2914458279299</v>
      </c>
      <c r="AC16" s="208">
        <v>102.32922080595732</v>
      </c>
      <c r="AD16" s="208">
        <v>3.8485700000000005</v>
      </c>
      <c r="AL16" s="208">
        <f>'Part-II'!K16/'Part-I'!AC16</f>
        <v>4.263802329027401</v>
      </c>
      <c r="AM16" s="208">
        <f t="shared" si="7"/>
        <v>0.4152323290274005</v>
      </c>
      <c r="AN16" s="208">
        <f>'Part-II'!K16/'Part-I'!AL16</f>
        <v>102.32922080595732</v>
      </c>
      <c r="AO16" s="208">
        <f>'Part-II'!K16/'Part-I'!AC16</f>
        <v>4.263802329027401</v>
      </c>
      <c r="AP16" s="208">
        <f t="shared" si="8"/>
        <v>0.48730709695576724</v>
      </c>
      <c r="AQ16" s="208">
        <f t="shared" si="9"/>
        <v>0.19347295839392092</v>
      </c>
      <c r="AR16" s="208">
        <f t="shared" si="10"/>
        <v>0.31921994465031195</v>
      </c>
      <c r="AS16" s="208">
        <f t="shared" si="11"/>
        <v>2.07778</v>
      </c>
      <c r="AT16" s="208">
        <f t="shared" si="12"/>
        <v>0.82493</v>
      </c>
      <c r="AU16" s="208">
        <f t="shared" si="13"/>
        <v>1.36109</v>
      </c>
      <c r="AV16" s="287">
        <f t="shared" si="14"/>
        <v>4.2638</v>
      </c>
      <c r="AW16" s="287">
        <v>1.224553</v>
      </c>
      <c r="AX16" s="287">
        <f>'[6]Part-I'!$U$13/'[6]Part-I'!$R$13</f>
        <v>0.2085330930853631</v>
      </c>
      <c r="AY16" s="208">
        <f t="shared" si="15"/>
        <v>0.28383230766755685</v>
      </c>
      <c r="AZ16" s="208">
        <v>0.43691260361183765</v>
      </c>
      <c r="BA16" s="287">
        <f t="shared" si="16"/>
        <v>1.8629079592801532</v>
      </c>
      <c r="BB16" s="287">
        <f t="shared" si="17"/>
        <v>0</v>
      </c>
      <c r="BC16" s="208">
        <f>'[4]Part-I'!R16/'[4]Part-I'!O16</f>
        <v>0.12111119131340421</v>
      </c>
      <c r="BD16" s="208">
        <f t="shared" si="5"/>
        <v>0.16484323138476134</v>
      </c>
      <c r="BE16" s="287">
        <f t="shared" si="18"/>
        <v>-0.11898907628279551</v>
      </c>
      <c r="BF16" s="208">
        <v>8</v>
      </c>
      <c r="BG16" s="208">
        <v>1500</v>
      </c>
      <c r="BH16" s="208">
        <v>41</v>
      </c>
      <c r="BI16" s="208">
        <f t="shared" si="19"/>
        <v>-159</v>
      </c>
      <c r="BJ16" s="208">
        <f t="shared" si="20"/>
        <v>-246</v>
      </c>
      <c r="BK16" s="208">
        <f t="shared" si="21"/>
        <v>0</v>
      </c>
    </row>
    <row r="17" spans="1:63" s="208" customFormat="1" ht="26.25" customHeight="1">
      <c r="A17" s="203">
        <v>5</v>
      </c>
      <c r="B17" s="204" t="s">
        <v>27</v>
      </c>
      <c r="C17" s="209">
        <v>56348</v>
      </c>
      <c r="D17" s="205">
        <v>8355</v>
      </c>
      <c r="E17" s="205">
        <v>31072</v>
      </c>
      <c r="F17" s="205">
        <v>15593</v>
      </c>
      <c r="G17" s="168">
        <f t="shared" si="0"/>
        <v>55020</v>
      </c>
      <c r="H17" s="206">
        <v>21014</v>
      </c>
      <c r="I17" s="417"/>
      <c r="J17" s="207">
        <v>20547</v>
      </c>
      <c r="K17" s="206">
        <v>10828</v>
      </c>
      <c r="L17" s="207"/>
      <c r="M17" s="248">
        <v>0.90082</v>
      </c>
      <c r="N17" s="248">
        <v>2.36052</v>
      </c>
      <c r="O17" s="248">
        <v>1.94532</v>
      </c>
      <c r="P17" s="249">
        <f t="shared" si="6"/>
        <v>5.20666</v>
      </c>
      <c r="Q17" s="250">
        <v>2.182643324188305</v>
      </c>
      <c r="R17" s="250">
        <v>0.4056635966408185</v>
      </c>
      <c r="S17" s="206">
        <v>16</v>
      </c>
      <c r="T17" s="207">
        <v>2457</v>
      </c>
      <c r="U17" s="206">
        <v>17</v>
      </c>
      <c r="V17" s="234">
        <f t="shared" si="1"/>
        <v>25.34024431790529</v>
      </c>
      <c r="W17" s="235">
        <f t="shared" si="2"/>
        <v>0.41920219952681853</v>
      </c>
      <c r="X17" s="260">
        <f t="shared" si="3"/>
        <v>0.41920219952681853</v>
      </c>
      <c r="Y17" s="260">
        <f t="shared" si="4"/>
        <v>0.2085330930853631</v>
      </c>
      <c r="Z17" s="208">
        <f>ROUND(X17*'[2]Part-I'!P16,5)</f>
        <v>0.25807</v>
      </c>
      <c r="AA17" s="208">
        <f>ROUND(Y17*'[2]Part-I'!O16,5)</f>
        <v>0.04575</v>
      </c>
      <c r="AB17" s="208">
        <v>123.02779834649775</v>
      </c>
      <c r="AC17" s="208">
        <v>100.78987</v>
      </c>
      <c r="AD17" s="208">
        <v>4.35312</v>
      </c>
      <c r="AL17" s="208">
        <f>'Part-II'!K17/'Part-I'!AC17</f>
        <v>5.206651223977172</v>
      </c>
      <c r="AM17" s="208">
        <f t="shared" si="7"/>
        <v>0.8535312239771722</v>
      </c>
      <c r="AN17" s="208">
        <f>'Part-II'!K17/'Part-I'!AL17</f>
        <v>100.78987</v>
      </c>
      <c r="AO17" s="208">
        <f>'Part-II'!K17/'Part-I'!AC17</f>
        <v>5.206651223977172</v>
      </c>
      <c r="AP17" s="208">
        <f t="shared" si="8"/>
        <v>0.17301302562487275</v>
      </c>
      <c r="AQ17" s="208">
        <f t="shared" si="9"/>
        <v>0.45336549726696196</v>
      </c>
      <c r="AR17" s="208">
        <f t="shared" si="10"/>
        <v>0.3736214771081653</v>
      </c>
      <c r="AS17" s="208">
        <f t="shared" si="11"/>
        <v>0.90082</v>
      </c>
      <c r="AT17" s="208">
        <f t="shared" si="12"/>
        <v>2.36052</v>
      </c>
      <c r="AU17" s="208">
        <f t="shared" si="13"/>
        <v>1.94532</v>
      </c>
      <c r="AV17" s="287">
        <f t="shared" si="14"/>
        <v>5.20666</v>
      </c>
      <c r="AW17" s="287">
        <v>1.49224</v>
      </c>
      <c r="AX17" s="287">
        <f>'[6]Part-I'!$U$13/'[6]Part-I'!$R$13</f>
        <v>0.2085330930853631</v>
      </c>
      <c r="AY17" s="208">
        <f t="shared" si="15"/>
        <v>0.4056635966408185</v>
      </c>
      <c r="AZ17" s="208">
        <v>0.4192021995268186</v>
      </c>
      <c r="BA17" s="287">
        <f t="shared" si="16"/>
        <v>2.182643324188305</v>
      </c>
      <c r="BB17" s="287">
        <f t="shared" si="17"/>
        <v>0</v>
      </c>
      <c r="BC17" s="208">
        <f>'[4]Part-I'!R17/'[4]Part-I'!O17</f>
        <v>0.04462622625108655</v>
      </c>
      <c r="BD17" s="208">
        <f t="shared" si="5"/>
        <v>0.08681229045076369</v>
      </c>
      <c r="BE17" s="287">
        <f t="shared" si="18"/>
        <v>-0.31885130619005486</v>
      </c>
      <c r="BF17" s="208">
        <v>0</v>
      </c>
      <c r="BG17" s="208">
        <v>2157</v>
      </c>
      <c r="BH17" s="208">
        <v>17</v>
      </c>
      <c r="BI17" s="208">
        <f t="shared" si="19"/>
        <v>-16</v>
      </c>
      <c r="BJ17" s="208">
        <f t="shared" si="20"/>
        <v>-300</v>
      </c>
      <c r="BK17" s="208">
        <f t="shared" si="21"/>
        <v>0</v>
      </c>
    </row>
    <row r="18" spans="1:63" s="208" customFormat="1" ht="26.25" customHeight="1">
      <c r="A18" s="203">
        <v>6</v>
      </c>
      <c r="B18" s="204" t="s">
        <v>28</v>
      </c>
      <c r="C18" s="209">
        <v>39869</v>
      </c>
      <c r="D18" s="205">
        <v>15435</v>
      </c>
      <c r="E18" s="205">
        <v>13492</v>
      </c>
      <c r="F18" s="205">
        <v>9346</v>
      </c>
      <c r="G18" s="168">
        <f t="shared" si="0"/>
        <v>38273</v>
      </c>
      <c r="H18" s="206">
        <v>30415</v>
      </c>
      <c r="I18" s="417"/>
      <c r="J18" s="207">
        <v>30072</v>
      </c>
      <c r="K18" s="206">
        <v>9872</v>
      </c>
      <c r="L18" s="422"/>
      <c r="M18" s="248">
        <v>2.35586</v>
      </c>
      <c r="N18" s="248">
        <v>3.5338</v>
      </c>
      <c r="O18" s="248">
        <v>1.96321</v>
      </c>
      <c r="P18" s="249">
        <f t="shared" si="6"/>
        <v>7.852869999999999</v>
      </c>
      <c r="Q18" s="250">
        <v>3.5337915</v>
      </c>
      <c r="R18" s="250">
        <v>0.4093942536761157</v>
      </c>
      <c r="S18" s="206">
        <v>6</v>
      </c>
      <c r="T18" s="207">
        <v>5126</v>
      </c>
      <c r="U18" s="206">
        <v>278</v>
      </c>
      <c r="V18" s="234">
        <f t="shared" si="1"/>
        <v>26.113560787443465</v>
      </c>
      <c r="W18" s="235">
        <f t="shared" si="2"/>
        <v>0.45</v>
      </c>
      <c r="X18" s="260">
        <f t="shared" si="3"/>
        <v>0.45</v>
      </c>
      <c r="Y18" s="260">
        <f t="shared" si="4"/>
        <v>0.2085330930853631</v>
      </c>
      <c r="Z18" s="208">
        <f>ROUND(X18*'[2]Part-I'!P17,5)</f>
        <v>1.07939</v>
      </c>
      <c r="AA18" s="208">
        <f>ROUND(Y18*'[2]Part-I'!O17,5)</f>
        <v>0.12505</v>
      </c>
      <c r="AB18" s="208">
        <v>81.00002660691632</v>
      </c>
      <c r="AC18" s="208">
        <v>99.25205</v>
      </c>
      <c r="AD18" s="208">
        <v>7.852868024691358</v>
      </c>
      <c r="AL18" s="208">
        <v>7.852868024691358</v>
      </c>
      <c r="AM18" s="208">
        <f t="shared" si="7"/>
        <v>0</v>
      </c>
      <c r="AN18" s="208">
        <f>'Part-II'!K18/'Part-I'!AL18</f>
        <v>86.3088451084263</v>
      </c>
      <c r="AO18" s="208">
        <v>6.6260112345679</v>
      </c>
      <c r="AP18" s="208">
        <f t="shared" si="8"/>
        <v>0.29999987265802186</v>
      </c>
      <c r="AQ18" s="208">
        <f t="shared" si="9"/>
        <v>0.45000108240681436</v>
      </c>
      <c r="AR18" s="208">
        <f t="shared" si="10"/>
        <v>0.24999904493516384</v>
      </c>
      <c r="AS18" s="208">
        <f t="shared" si="11"/>
        <v>2.35586</v>
      </c>
      <c r="AT18" s="208">
        <f t="shared" si="12"/>
        <v>3.5338</v>
      </c>
      <c r="AU18" s="208">
        <f t="shared" si="13"/>
        <v>1.96321</v>
      </c>
      <c r="AV18" s="287">
        <f t="shared" si="14"/>
        <v>7.852869999999999</v>
      </c>
      <c r="AW18" s="287">
        <v>2.48678</v>
      </c>
      <c r="AX18" s="287">
        <f>'[6]Part-I'!$U$13/'[6]Part-I'!$R$13</f>
        <v>0.2085330930853631</v>
      </c>
      <c r="AY18" s="208">
        <f t="shared" si="15"/>
        <v>0.4093942536761157</v>
      </c>
      <c r="AZ18" s="208">
        <v>0.45</v>
      </c>
      <c r="BA18" s="287">
        <f t="shared" si="16"/>
        <v>3.5337915</v>
      </c>
      <c r="BB18" s="287">
        <f t="shared" si="17"/>
        <v>0</v>
      </c>
      <c r="BC18" s="208">
        <f>'[4]Part-I'!R18/'[4]Part-I'!O18</f>
        <v>0.2633503104723366</v>
      </c>
      <c r="BD18" s="208">
        <f t="shared" si="5"/>
        <v>0.5170119630223959</v>
      </c>
      <c r="BE18" s="287">
        <f t="shared" si="18"/>
        <v>0.10761770934628023</v>
      </c>
      <c r="BF18" s="208">
        <v>0</v>
      </c>
      <c r="BG18" s="208">
        <v>5126</v>
      </c>
      <c r="BH18" s="208">
        <v>278</v>
      </c>
      <c r="BI18" s="208">
        <f t="shared" si="19"/>
        <v>-6</v>
      </c>
      <c r="BJ18" s="208">
        <f t="shared" si="20"/>
        <v>0</v>
      </c>
      <c r="BK18" s="208">
        <f t="shared" si="21"/>
        <v>0</v>
      </c>
    </row>
    <row r="19" spans="1:63" s="208" customFormat="1" ht="26.25" customHeight="1">
      <c r="A19" s="203">
        <v>7</v>
      </c>
      <c r="B19" s="204" t="s">
        <v>29</v>
      </c>
      <c r="C19" s="209">
        <v>38645</v>
      </c>
      <c r="D19" s="205">
        <v>7774</v>
      </c>
      <c r="E19" s="205">
        <v>16308</v>
      </c>
      <c r="F19" s="205">
        <v>14225</v>
      </c>
      <c r="G19" s="168">
        <f t="shared" si="0"/>
        <v>38307</v>
      </c>
      <c r="H19" s="206">
        <v>22719</v>
      </c>
      <c r="I19" s="417"/>
      <c r="J19" s="207">
        <v>21362</v>
      </c>
      <c r="K19" s="206">
        <v>5305</v>
      </c>
      <c r="L19" s="422"/>
      <c r="M19" s="248">
        <v>1.29423</v>
      </c>
      <c r="N19" s="248">
        <v>2.45284</v>
      </c>
      <c r="O19" s="248">
        <v>2.33416</v>
      </c>
      <c r="P19" s="249">
        <f t="shared" si="6"/>
        <v>6.08123</v>
      </c>
      <c r="Q19" s="250">
        <v>3.2499140355370217</v>
      </c>
      <c r="R19" s="250">
        <v>0.4867496045561311</v>
      </c>
      <c r="S19" s="206">
        <v>3</v>
      </c>
      <c r="T19" s="207">
        <v>74</v>
      </c>
      <c r="U19" s="206">
        <v>127</v>
      </c>
      <c r="V19" s="234">
        <f t="shared" si="1"/>
        <v>28.467512405205504</v>
      </c>
      <c r="W19" s="235">
        <f t="shared" si="2"/>
        <v>0.534417220782148</v>
      </c>
      <c r="X19" s="260">
        <f t="shared" si="3"/>
        <v>0.534417220782148</v>
      </c>
      <c r="Y19" s="260">
        <f t="shared" si="4"/>
        <v>0.2085330930853631</v>
      </c>
      <c r="Z19" s="208">
        <f>ROUND(X19*'[2]Part-I'!P18,5)</f>
        <v>0.36946</v>
      </c>
      <c r="AA19" s="208">
        <f>ROUND(Y19*'[2]Part-I'!O18,5)</f>
        <v>0.04223</v>
      </c>
      <c r="AB19" s="208">
        <v>80.1581010412506</v>
      </c>
      <c r="AC19" s="208">
        <v>100.49439668862637</v>
      </c>
      <c r="AD19" s="208">
        <v>6.08123</v>
      </c>
      <c r="AL19" s="208">
        <v>6.08123</v>
      </c>
      <c r="AM19" s="208">
        <f t="shared" si="7"/>
        <v>0</v>
      </c>
      <c r="AN19" s="208">
        <f>'Part-II'!K19/'Part-I'!AL19</f>
        <v>84.70714970491167</v>
      </c>
      <c r="AO19" s="208">
        <v>4.88015</v>
      </c>
      <c r="AP19" s="208">
        <f t="shared" si="8"/>
        <v>0.21282372151686418</v>
      </c>
      <c r="AQ19" s="208">
        <f t="shared" si="9"/>
        <v>0.40334603361491017</v>
      </c>
      <c r="AR19" s="208">
        <f t="shared" si="10"/>
        <v>0.38383024486822565</v>
      </c>
      <c r="AS19" s="208">
        <f t="shared" si="11"/>
        <v>1.29423</v>
      </c>
      <c r="AT19" s="208">
        <f t="shared" si="12"/>
        <v>2.45284</v>
      </c>
      <c r="AU19" s="208">
        <f t="shared" si="13"/>
        <v>2.33416</v>
      </c>
      <c r="AV19" s="287">
        <f t="shared" si="14"/>
        <v>6.08123</v>
      </c>
      <c r="AW19" s="287">
        <v>1.97889</v>
      </c>
      <c r="AX19" s="287">
        <f>'[6]Part-I'!$U$13/'[6]Part-I'!$R$13</f>
        <v>0.2085330930853631</v>
      </c>
      <c r="AY19" s="208">
        <f t="shared" si="15"/>
        <v>0.4867496045561311</v>
      </c>
      <c r="AZ19" s="208">
        <v>0.534417220782148</v>
      </c>
      <c r="BA19" s="287">
        <f t="shared" si="16"/>
        <v>3.2499140355370217</v>
      </c>
      <c r="BB19" s="287">
        <f t="shared" si="17"/>
        <v>0</v>
      </c>
      <c r="BC19" s="208">
        <f>'[4]Part-I'!R19/'[4]Part-I'!O19</f>
        <v>0.19582825947158866</v>
      </c>
      <c r="BD19" s="208">
        <f t="shared" si="5"/>
        <v>0.45709449012820336</v>
      </c>
      <c r="BE19" s="287">
        <f t="shared" si="18"/>
        <v>-0.02965511442792773</v>
      </c>
      <c r="BF19" s="208">
        <v>22</v>
      </c>
      <c r="BG19" s="208">
        <v>201</v>
      </c>
      <c r="BH19" s="208">
        <v>127</v>
      </c>
      <c r="BI19" s="208">
        <f t="shared" si="19"/>
        <v>19</v>
      </c>
      <c r="BJ19" s="208">
        <f t="shared" si="20"/>
        <v>127</v>
      </c>
      <c r="BK19" s="208">
        <f t="shared" si="21"/>
        <v>0</v>
      </c>
    </row>
    <row r="20" spans="1:63" s="208" customFormat="1" ht="26.25" customHeight="1">
      <c r="A20" s="203">
        <v>8</v>
      </c>
      <c r="B20" s="204" t="s">
        <v>30</v>
      </c>
      <c r="C20" s="209">
        <v>57213</v>
      </c>
      <c r="D20" s="205">
        <v>18393</v>
      </c>
      <c r="E20" s="205">
        <v>20598</v>
      </c>
      <c r="F20" s="205">
        <v>18221</v>
      </c>
      <c r="G20" s="168">
        <f t="shared" si="0"/>
        <v>57212</v>
      </c>
      <c r="H20" s="206">
        <v>20679</v>
      </c>
      <c r="I20" s="417"/>
      <c r="J20" s="207">
        <v>20321</v>
      </c>
      <c r="K20" s="206">
        <v>7116</v>
      </c>
      <c r="L20" s="422"/>
      <c r="M20" s="248">
        <v>1.91661</v>
      </c>
      <c r="N20" s="248">
        <v>1.69224</v>
      </c>
      <c r="O20" s="248">
        <v>1.9582</v>
      </c>
      <c r="P20" s="249">
        <f t="shared" si="6"/>
        <v>5.56705</v>
      </c>
      <c r="Q20" s="250">
        <v>2.3403904784218508</v>
      </c>
      <c r="R20" s="250">
        <v>0.408349502879758</v>
      </c>
      <c r="S20" s="206">
        <v>38</v>
      </c>
      <c r="T20" s="207">
        <v>527</v>
      </c>
      <c r="U20" s="206">
        <v>71</v>
      </c>
      <c r="V20" s="234">
        <f t="shared" si="1"/>
        <v>27.395551400029525</v>
      </c>
      <c r="W20" s="235">
        <f t="shared" si="2"/>
        <v>0.42040047752792786</v>
      </c>
      <c r="X20" s="260">
        <f t="shared" si="3"/>
        <v>0.42040047752792786</v>
      </c>
      <c r="Y20" s="260">
        <f t="shared" si="4"/>
        <v>0.2085330930853631</v>
      </c>
      <c r="Z20" s="208">
        <f>ROUND(X20*'[2]Part-I'!P19,5)</f>
        <v>0.31873</v>
      </c>
      <c r="AA20" s="208">
        <f>ROUND(Y20*'[2]Part-I'!O19,5)</f>
        <v>0.04705</v>
      </c>
      <c r="AB20" s="208">
        <v>116.19724658331513</v>
      </c>
      <c r="AC20" s="208">
        <v>98.1498546390079</v>
      </c>
      <c r="AD20" s="208">
        <v>4.06574</v>
      </c>
      <c r="AL20" s="208">
        <f>'Part-II'!K20/'Part-I'!AC20</f>
        <v>5.567052361001063</v>
      </c>
      <c r="AM20" s="208">
        <f t="shared" si="7"/>
        <v>1.5013123610010632</v>
      </c>
      <c r="AN20" s="208">
        <f>'Part-II'!K20/'Part-I'!AL20</f>
        <v>98.1498546390079</v>
      </c>
      <c r="AO20" s="208">
        <f>'Part-II'!K20/'Part-I'!AC20</f>
        <v>5.567052361001063</v>
      </c>
      <c r="AP20" s="208">
        <f>M20/$P20</f>
        <v>0.3442774898734518</v>
      </c>
      <c r="AQ20" s="208">
        <f t="shared" si="9"/>
        <v>0.3039742772204309</v>
      </c>
      <c r="AR20" s="208">
        <f t="shared" si="10"/>
        <v>0.35174823290611723</v>
      </c>
      <c r="AS20" s="208">
        <f t="shared" si="11"/>
        <v>1.91661</v>
      </c>
      <c r="AT20" s="208">
        <f t="shared" si="12"/>
        <v>1.69224</v>
      </c>
      <c r="AU20" s="208">
        <f t="shared" si="13"/>
        <v>1.9582</v>
      </c>
      <c r="AV20" s="287">
        <f t="shared" si="14"/>
        <v>5.56705</v>
      </c>
      <c r="AW20" s="287">
        <v>1.7092390375043973</v>
      </c>
      <c r="AX20" s="287">
        <f>'[6]Part-I'!$U$13/'[6]Part-I'!$R$13</f>
        <v>0.2085330930853631</v>
      </c>
      <c r="AY20" s="208">
        <f t="shared" si="15"/>
        <v>0.408349502879758</v>
      </c>
      <c r="AZ20" s="208">
        <v>0.42040047752792786</v>
      </c>
      <c r="BA20" s="287">
        <f t="shared" si="16"/>
        <v>2.3403904784218508</v>
      </c>
      <c r="BB20" s="287">
        <f t="shared" si="17"/>
        <v>0</v>
      </c>
      <c r="BC20" s="208">
        <f>'[4]Part-I'!R20/'[4]Part-I'!O20</f>
        <v>0.1840687670817979</v>
      </c>
      <c r="BD20" s="208">
        <f t="shared" si="5"/>
        <v>0.36044345969957664</v>
      </c>
      <c r="BE20" s="287">
        <f t="shared" si="18"/>
        <v>-0.04790604318018138</v>
      </c>
      <c r="BF20" s="208">
        <v>0</v>
      </c>
      <c r="BG20" s="208">
        <v>527</v>
      </c>
      <c r="BH20" s="208">
        <v>71</v>
      </c>
      <c r="BI20" s="208">
        <f t="shared" si="19"/>
        <v>-38</v>
      </c>
      <c r="BJ20" s="208">
        <f t="shared" si="20"/>
        <v>0</v>
      </c>
      <c r="BK20" s="208">
        <f t="shared" si="21"/>
        <v>0</v>
      </c>
    </row>
    <row r="21" spans="1:63" s="208" customFormat="1" ht="26.25" customHeight="1">
      <c r="A21" s="203">
        <v>9</v>
      </c>
      <c r="B21" s="277" t="s">
        <v>31</v>
      </c>
      <c r="C21" s="278">
        <v>24986</v>
      </c>
      <c r="D21" s="279">
        <v>5985</v>
      </c>
      <c r="E21" s="279">
        <v>12135</v>
      </c>
      <c r="F21" s="279">
        <v>6226</v>
      </c>
      <c r="G21" s="280">
        <f t="shared" si="0"/>
        <v>24346</v>
      </c>
      <c r="H21" s="281">
        <v>13860</v>
      </c>
      <c r="I21" s="417"/>
      <c r="J21" s="207">
        <v>13482</v>
      </c>
      <c r="K21" s="206">
        <v>3322</v>
      </c>
      <c r="L21" s="422"/>
      <c r="M21" s="248">
        <v>0.71894</v>
      </c>
      <c r="N21" s="248">
        <v>1.34228</v>
      </c>
      <c r="O21" s="248">
        <v>0.58914</v>
      </c>
      <c r="P21" s="249">
        <f t="shared" si="6"/>
        <v>2.65036</v>
      </c>
      <c r="Q21" s="250">
        <v>1.3836651461603262</v>
      </c>
      <c r="R21" s="250">
        <v>0.12285518646031082</v>
      </c>
      <c r="S21" s="206">
        <v>16</v>
      </c>
      <c r="T21" s="207">
        <v>216</v>
      </c>
      <c r="U21" s="206">
        <v>94</v>
      </c>
      <c r="V21" s="234">
        <f t="shared" si="1"/>
        <v>19.65850763981605</v>
      </c>
      <c r="W21" s="235">
        <f t="shared" si="2"/>
        <v>0.522066868712298</v>
      </c>
      <c r="X21" s="260">
        <f t="shared" si="3"/>
        <v>0.522066868712298</v>
      </c>
      <c r="Y21" s="260">
        <f t="shared" si="4"/>
        <v>0.2085330930853631</v>
      </c>
      <c r="Z21" s="208">
        <f>ROUND(X21*'[2]Part-I'!P20,5)</f>
        <v>0.36567</v>
      </c>
      <c r="AA21" s="208">
        <f>ROUND(Y21*'[2]Part-I'!O20,5)</f>
        <v>0.02349</v>
      </c>
      <c r="AB21" s="208">
        <v>99.65172239814076</v>
      </c>
      <c r="AC21" s="208">
        <v>101.0225111062961</v>
      </c>
      <c r="AD21" s="208">
        <v>2.569435</v>
      </c>
      <c r="AL21" s="208">
        <f>'Part-II'!K21/'Part-I'!AC21</f>
        <v>2.6503601728754997</v>
      </c>
      <c r="AM21" s="208">
        <f t="shared" si="7"/>
        <v>0.08092517287549983</v>
      </c>
      <c r="AN21" s="208">
        <f>'Part-II'!K21/'Part-I'!AL21</f>
        <v>101.0225111062961</v>
      </c>
      <c r="AO21" s="208">
        <f>'Part-II'!K21/'Part-I'!AC21</f>
        <v>2.6503601728754997</v>
      </c>
      <c r="AP21" s="208">
        <f t="shared" si="8"/>
        <v>0.271261262620927</v>
      </c>
      <c r="AQ21" s="208">
        <f t="shared" si="9"/>
        <v>0.5064519536968562</v>
      </c>
      <c r="AR21" s="208">
        <f t="shared" si="10"/>
        <v>0.22228678368221674</v>
      </c>
      <c r="AS21" s="208">
        <f t="shared" si="11"/>
        <v>0.71894</v>
      </c>
      <c r="AT21" s="208">
        <f t="shared" si="12"/>
        <v>1.34228</v>
      </c>
      <c r="AU21" s="208">
        <f t="shared" si="13"/>
        <v>0.58914</v>
      </c>
      <c r="AV21" s="287">
        <f t="shared" si="14"/>
        <v>2.65036</v>
      </c>
      <c r="AW21" s="287">
        <v>0.9931318624359006</v>
      </c>
      <c r="AX21" s="287">
        <f>'[6]Part-I'!$U$13/'[6]Part-I'!$R$13</f>
        <v>0.2085330930853631</v>
      </c>
      <c r="AY21" s="208">
        <f t="shared" si="15"/>
        <v>0.12285518646031082</v>
      </c>
      <c r="AZ21" s="208">
        <v>0.522066868712298</v>
      </c>
      <c r="BA21" s="287">
        <f t="shared" si="16"/>
        <v>1.3836651461603262</v>
      </c>
      <c r="BB21" s="287">
        <f t="shared" si="17"/>
        <v>0</v>
      </c>
      <c r="BC21" s="208">
        <f>'[4]Part-I'!R21/'[4]Part-I'!O21</f>
        <v>0.19180597365443328</v>
      </c>
      <c r="BD21" s="208">
        <f t="shared" si="5"/>
        <v>0.11300057131877282</v>
      </c>
      <c r="BE21" s="287">
        <f t="shared" si="18"/>
        <v>-0.009854615141538</v>
      </c>
      <c r="BF21" s="208">
        <v>0</v>
      </c>
      <c r="BG21" s="208">
        <v>204</v>
      </c>
      <c r="BH21" s="208">
        <v>94</v>
      </c>
      <c r="BI21" s="208">
        <f t="shared" si="19"/>
        <v>-16</v>
      </c>
      <c r="BJ21" s="208">
        <f t="shared" si="20"/>
        <v>-12</v>
      </c>
      <c r="BK21" s="208">
        <f t="shared" si="21"/>
        <v>0</v>
      </c>
    </row>
    <row r="22" spans="1:63" s="208" customFormat="1" ht="26.25" customHeight="1">
      <c r="A22" s="268">
        <v>10</v>
      </c>
      <c r="B22" s="204" t="s">
        <v>32</v>
      </c>
      <c r="C22" s="209">
        <v>67180</v>
      </c>
      <c r="D22" s="205">
        <v>49852</v>
      </c>
      <c r="E22" s="205">
        <v>1048</v>
      </c>
      <c r="F22" s="205">
        <v>14866</v>
      </c>
      <c r="G22" s="168">
        <f t="shared" si="0"/>
        <v>65766</v>
      </c>
      <c r="H22" s="206">
        <v>36998</v>
      </c>
      <c r="I22" s="417"/>
      <c r="J22" s="207">
        <v>36221</v>
      </c>
      <c r="K22" s="206">
        <v>1181</v>
      </c>
      <c r="L22" s="207"/>
      <c r="M22" s="248">
        <v>5.60415</v>
      </c>
      <c r="N22" s="248">
        <v>0.13474</v>
      </c>
      <c r="O22" s="248">
        <v>1.52416</v>
      </c>
      <c r="P22" s="249">
        <f t="shared" si="6"/>
        <v>7.26305</v>
      </c>
      <c r="Q22" s="250">
        <v>4.7794688141190145</v>
      </c>
      <c r="R22" s="250">
        <v>0.317837799156987</v>
      </c>
      <c r="S22" s="206">
        <v>19</v>
      </c>
      <c r="T22" s="207">
        <v>1153</v>
      </c>
      <c r="U22" s="206">
        <v>73</v>
      </c>
      <c r="V22" s="234">
        <f t="shared" si="1"/>
        <v>20.052041633306644</v>
      </c>
      <c r="W22" s="235">
        <f t="shared" si="2"/>
        <v>0.6580525831598315</v>
      </c>
      <c r="X22" s="260">
        <f t="shared" si="3"/>
        <v>0.6580525831598315</v>
      </c>
      <c r="Y22" s="260">
        <f t="shared" si="4"/>
        <v>0.2085330930853631</v>
      </c>
      <c r="Z22" s="208">
        <f>ROUND(X22*'[2]Part-I'!P21,5)</f>
        <v>1.53715</v>
      </c>
      <c r="AA22" s="208">
        <f>ROUND(Y22*'[2]Part-I'!O21,5)</f>
        <v>0.0653</v>
      </c>
      <c r="AB22" s="208">
        <v>124.17756019848444</v>
      </c>
      <c r="AC22" s="208">
        <v>99.25789</v>
      </c>
      <c r="AD22" s="208">
        <v>6.670714800000001</v>
      </c>
      <c r="AL22" s="208">
        <f>'Part-II'!K22/'Part-I'!AC22</f>
        <v>7.263048710787626</v>
      </c>
      <c r="AM22" s="208">
        <f t="shared" si="7"/>
        <v>0.5923339107876249</v>
      </c>
      <c r="AN22" s="208">
        <f>'Part-II'!K22/'Part-I'!AL22</f>
        <v>99.25789</v>
      </c>
      <c r="AO22" s="208">
        <f>'Part-II'!K22/'Part-I'!AC22</f>
        <v>7.263048710787626</v>
      </c>
      <c r="AP22" s="208">
        <f t="shared" si="8"/>
        <v>0.7715973316994926</v>
      </c>
      <c r="AQ22" s="208">
        <f t="shared" si="9"/>
        <v>0.018551435003201135</v>
      </c>
      <c r="AR22" s="208">
        <f t="shared" si="10"/>
        <v>0.20985123329730623</v>
      </c>
      <c r="AS22" s="208">
        <f>ROUND(AP22*$AL22,5)</f>
        <v>5.60415</v>
      </c>
      <c r="AT22" s="208">
        <f t="shared" si="12"/>
        <v>0.13474</v>
      </c>
      <c r="AU22" s="208">
        <f t="shared" si="13"/>
        <v>1.52416</v>
      </c>
      <c r="AV22" s="287">
        <f t="shared" si="14"/>
        <v>7.26305</v>
      </c>
      <c r="AW22" s="287">
        <v>1.7581101627622788</v>
      </c>
      <c r="AX22" s="287">
        <f>'[6]Part-I'!$U$13/'[6]Part-I'!$R$13</f>
        <v>0.2085330930853631</v>
      </c>
      <c r="AY22" s="208">
        <f t="shared" si="15"/>
        <v>0.317837799156987</v>
      </c>
      <c r="AZ22" s="208">
        <v>0.6580525831598315</v>
      </c>
      <c r="BA22" s="287">
        <f t="shared" si="16"/>
        <v>4.7794688141190145</v>
      </c>
      <c r="BB22" s="287">
        <f t="shared" si="17"/>
        <v>0</v>
      </c>
      <c r="BC22" s="208">
        <f>'[4]Part-I'!R22/'[4]Part-I'!O22</f>
        <v>0.12020160435146027</v>
      </c>
      <c r="BD22" s="208">
        <f t="shared" si="5"/>
        <v>0.18320647728832168</v>
      </c>
      <c r="BE22" s="287">
        <f t="shared" si="18"/>
        <v>-0.13463132186866533</v>
      </c>
      <c r="BF22" s="208">
        <v>5</v>
      </c>
      <c r="BG22" s="208">
        <v>1066</v>
      </c>
      <c r="BH22" s="208">
        <v>73</v>
      </c>
      <c r="BI22" s="208">
        <f t="shared" si="19"/>
        <v>-14</v>
      </c>
      <c r="BJ22" s="208">
        <f t="shared" si="20"/>
        <v>-87</v>
      </c>
      <c r="BK22" s="208">
        <f t="shared" si="21"/>
        <v>0</v>
      </c>
    </row>
    <row r="23" spans="1:63" s="208" customFormat="1" ht="26.25" customHeight="1">
      <c r="A23" s="268">
        <v>11</v>
      </c>
      <c r="B23" s="204" t="s">
        <v>33</v>
      </c>
      <c r="C23" s="209">
        <v>25551</v>
      </c>
      <c r="D23" s="205">
        <v>3981</v>
      </c>
      <c r="E23" s="205">
        <v>14866</v>
      </c>
      <c r="F23" s="205">
        <v>6669</v>
      </c>
      <c r="G23" s="168">
        <f t="shared" si="0"/>
        <v>25516</v>
      </c>
      <c r="H23" s="206">
        <v>16258</v>
      </c>
      <c r="I23" s="417"/>
      <c r="J23" s="207">
        <v>16387</v>
      </c>
      <c r="K23" s="206">
        <v>2086</v>
      </c>
      <c r="L23" s="207"/>
      <c r="M23" s="248">
        <v>0.29381</v>
      </c>
      <c r="N23" s="248">
        <v>1.05599</v>
      </c>
      <c r="O23" s="248">
        <v>0.50564</v>
      </c>
      <c r="P23" s="249">
        <f t="shared" si="6"/>
        <v>1.8554400000000002</v>
      </c>
      <c r="Q23" s="250">
        <v>0.6346392841803866</v>
      </c>
      <c r="R23" s="250">
        <v>0.105442673187683</v>
      </c>
      <c r="S23" s="206">
        <v>13</v>
      </c>
      <c r="T23" s="207">
        <v>52</v>
      </c>
      <c r="U23" s="206">
        <v>16</v>
      </c>
      <c r="V23" s="234">
        <f t="shared" si="1"/>
        <v>11.322633795081469</v>
      </c>
      <c r="W23" s="235">
        <f t="shared" si="2"/>
        <v>0.34204247196373183</v>
      </c>
      <c r="X23" s="260"/>
      <c r="Y23" s="260"/>
      <c r="Z23" s="208">
        <f>ROUND(X23*'[2]Part-I'!P22,5)</f>
        <v>0</v>
      </c>
      <c r="AA23" s="208">
        <f>ROUND(Y23*'[2]Part-I'!O22,5)</f>
        <v>0</v>
      </c>
      <c r="AB23" s="208">
        <v>98.4169699964999</v>
      </c>
      <c r="AC23" s="208">
        <v>99.11690671810766</v>
      </c>
      <c r="AD23" s="208">
        <v>1.85544</v>
      </c>
      <c r="AL23" s="208">
        <v>1.85544</v>
      </c>
      <c r="AM23" s="208">
        <f t="shared" si="7"/>
        <v>0</v>
      </c>
      <c r="AN23" s="208">
        <f>'Part-II'!K23/'Part-I'!AL23</f>
        <v>86.62384663476048</v>
      </c>
      <c r="AO23" s="208">
        <v>1.59258</v>
      </c>
      <c r="AP23" s="208">
        <f t="shared" si="8"/>
        <v>0.15835057991635407</v>
      </c>
      <c r="AQ23" s="208">
        <f t="shared" si="9"/>
        <v>0.5691318501271935</v>
      </c>
      <c r="AR23" s="208">
        <f t="shared" si="10"/>
        <v>0.2725175699564523</v>
      </c>
      <c r="AS23" s="208">
        <f t="shared" si="11"/>
        <v>0.29381</v>
      </c>
      <c r="AT23" s="208">
        <f t="shared" si="12"/>
        <v>1.05599</v>
      </c>
      <c r="AU23" s="208">
        <f t="shared" si="13"/>
        <v>0.50564</v>
      </c>
      <c r="AV23" s="287">
        <f t="shared" si="14"/>
        <v>1.8554400000000002</v>
      </c>
      <c r="AW23" s="287">
        <v>0.5195297596644837</v>
      </c>
      <c r="AX23" s="287">
        <f>'[6]Part-I'!$U$13/'[6]Part-I'!$R$13</f>
        <v>0.2085330930853631</v>
      </c>
      <c r="AY23" s="208">
        <f t="shared" si="15"/>
        <v>0.105442673187683</v>
      </c>
      <c r="AZ23" s="208">
        <v>0.34204247196373183</v>
      </c>
      <c r="BA23" s="287">
        <f t="shared" si="16"/>
        <v>0.6346392841803866</v>
      </c>
      <c r="BB23" s="287">
        <f t="shared" si="17"/>
        <v>0</v>
      </c>
      <c r="BC23" s="208">
        <f>'[4]Part-I'!R23/'[4]Part-I'!O23</f>
        <v>0.1960001958288456</v>
      </c>
      <c r="BD23" s="208">
        <f t="shared" si="5"/>
        <v>0.09910553901889749</v>
      </c>
      <c r="BE23" s="287">
        <f t="shared" si="18"/>
        <v>-0.006337134168785508</v>
      </c>
      <c r="BF23" s="208">
        <v>0</v>
      </c>
      <c r="BG23" s="208">
        <v>68</v>
      </c>
      <c r="BH23" s="208">
        <v>16</v>
      </c>
      <c r="BI23" s="208">
        <f t="shared" si="19"/>
        <v>-13</v>
      </c>
      <c r="BJ23" s="208">
        <f t="shared" si="20"/>
        <v>16</v>
      </c>
      <c r="BK23" s="208">
        <f t="shared" si="21"/>
        <v>0</v>
      </c>
    </row>
    <row r="24" spans="1:63" s="208" customFormat="1" ht="26.25" customHeight="1">
      <c r="A24" s="268">
        <v>12</v>
      </c>
      <c r="B24" s="204" t="s">
        <v>34</v>
      </c>
      <c r="C24" s="209">
        <v>50740</v>
      </c>
      <c r="D24" s="205">
        <v>29823</v>
      </c>
      <c r="E24" s="205">
        <v>2726</v>
      </c>
      <c r="F24" s="205">
        <v>17511</v>
      </c>
      <c r="G24" s="168">
        <f t="shared" si="0"/>
        <v>50060</v>
      </c>
      <c r="H24" s="206">
        <v>15420</v>
      </c>
      <c r="I24" s="417"/>
      <c r="J24" s="207">
        <v>15322</v>
      </c>
      <c r="K24" s="206">
        <v>6478</v>
      </c>
      <c r="L24" s="207"/>
      <c r="M24" s="248">
        <v>1.54016</v>
      </c>
      <c r="N24" s="248">
        <v>0.36727</v>
      </c>
      <c r="O24" s="248">
        <v>0.89724</v>
      </c>
      <c r="P24" s="249">
        <f t="shared" si="6"/>
        <v>2.8046699999999998</v>
      </c>
      <c r="Q24" s="250">
        <v>1.150122753303085</v>
      </c>
      <c r="R24" s="250">
        <v>0.1871042324399112</v>
      </c>
      <c r="S24" s="206">
        <v>7</v>
      </c>
      <c r="T24" s="207">
        <v>1085</v>
      </c>
      <c r="U24" s="206">
        <v>16</v>
      </c>
      <c r="V24" s="234">
        <f t="shared" si="1"/>
        <v>18.304855762955228</v>
      </c>
      <c r="W24" s="235">
        <f t="shared" si="2"/>
        <v>0.41007418102774484</v>
      </c>
      <c r="X24" s="260">
        <f>Q24/P24</f>
        <v>0.41007418102774484</v>
      </c>
      <c r="Y24" s="260">
        <f>R24/O24</f>
        <v>0.2085330930853631</v>
      </c>
      <c r="Z24" s="208">
        <f>ROUND(X24*'[2]Part-I'!P23,5)</f>
        <v>0.15819</v>
      </c>
      <c r="AA24" s="208">
        <v>0.09394</v>
      </c>
      <c r="AB24" s="208">
        <v>101.75959403633642</v>
      </c>
      <c r="AC24" s="208">
        <v>100.4488</v>
      </c>
      <c r="AD24" s="208">
        <v>2.6645418</v>
      </c>
      <c r="AF24" s="239"/>
      <c r="AI24" s="240"/>
      <c r="AL24" s="208">
        <f>'Part-II'!K24/'Part-I'!AC24</f>
        <v>2.8046717332611237</v>
      </c>
      <c r="AM24" s="208">
        <f t="shared" si="7"/>
        <v>0.14012993326112388</v>
      </c>
      <c r="AN24" s="208">
        <f>'Part-II'!K24/'Part-I'!AL24</f>
        <v>100.4488</v>
      </c>
      <c r="AO24" s="208">
        <f>'Part-II'!K24/'Part-I'!AC24</f>
        <v>2.8046717332611237</v>
      </c>
      <c r="AP24" s="208">
        <f t="shared" si="8"/>
        <v>0.5491412536947307</v>
      </c>
      <c r="AQ24" s="208">
        <f t="shared" si="9"/>
        <v>0.13094945216371268</v>
      </c>
      <c r="AR24" s="208">
        <f t="shared" si="10"/>
        <v>0.3199092941415568</v>
      </c>
      <c r="AS24" s="208">
        <f t="shared" si="11"/>
        <v>1.54016</v>
      </c>
      <c r="AT24" s="208">
        <f t="shared" si="12"/>
        <v>0.36727</v>
      </c>
      <c r="AU24" s="208">
        <f t="shared" si="13"/>
        <v>0.89724</v>
      </c>
      <c r="AV24" s="287">
        <f t="shared" si="14"/>
        <v>2.8046699999999998</v>
      </c>
      <c r="AW24" s="287">
        <v>0.8793335336249937</v>
      </c>
      <c r="AX24" s="287">
        <f>'[6]Part-I'!$U$13/'[6]Part-I'!$R$13</f>
        <v>0.2085330930853631</v>
      </c>
      <c r="AY24" s="208">
        <f t="shared" si="15"/>
        <v>0.1871042324399112</v>
      </c>
      <c r="AZ24" s="208">
        <v>0.41007418102774484</v>
      </c>
      <c r="BA24" s="287">
        <f t="shared" si="16"/>
        <v>1.150122753303085</v>
      </c>
      <c r="BB24" s="287">
        <f t="shared" si="17"/>
        <v>0</v>
      </c>
      <c r="BC24" s="208">
        <f>'[4]Part-I'!R24/'[4]Part-I'!O24</f>
        <v>0.47593030124040164</v>
      </c>
      <c r="BD24" s="208">
        <f t="shared" si="5"/>
        <v>0.427023703484938</v>
      </c>
      <c r="BE24" s="287">
        <f t="shared" si="18"/>
        <v>0.2399194710450268</v>
      </c>
      <c r="BF24" s="208">
        <v>3</v>
      </c>
      <c r="BG24" s="208">
        <v>1012</v>
      </c>
      <c r="BH24" s="208">
        <v>16</v>
      </c>
      <c r="BI24" s="208">
        <f t="shared" si="19"/>
        <v>-4</v>
      </c>
      <c r="BJ24" s="208">
        <f t="shared" si="20"/>
        <v>-73</v>
      </c>
      <c r="BK24" s="208">
        <f t="shared" si="21"/>
        <v>0</v>
      </c>
    </row>
    <row r="25" spans="1:63" s="208" customFormat="1" ht="26.25" customHeight="1">
      <c r="A25" s="268">
        <v>13</v>
      </c>
      <c r="B25" s="204" t="s">
        <v>35</v>
      </c>
      <c r="C25" s="209">
        <v>59423</v>
      </c>
      <c r="D25" s="205">
        <v>36995</v>
      </c>
      <c r="E25" s="205">
        <v>4458</v>
      </c>
      <c r="F25" s="205">
        <v>17558</v>
      </c>
      <c r="G25" s="168">
        <f t="shared" si="0"/>
        <v>59011</v>
      </c>
      <c r="H25" s="206">
        <v>24144</v>
      </c>
      <c r="I25" s="417"/>
      <c r="J25" s="207">
        <v>23395</v>
      </c>
      <c r="K25" s="206">
        <v>8208</v>
      </c>
      <c r="L25" s="207"/>
      <c r="M25" s="248">
        <v>1.89828</v>
      </c>
      <c r="N25" s="248">
        <v>0.10567</v>
      </c>
      <c r="O25" s="248">
        <v>1.07907</v>
      </c>
      <c r="P25" s="249">
        <f t="shared" si="6"/>
        <v>3.0830200000000003</v>
      </c>
      <c r="Q25" s="250">
        <v>1.0163826605669826</v>
      </c>
      <c r="R25" s="250">
        <v>0.22502180475562275</v>
      </c>
      <c r="S25" s="206">
        <v>12</v>
      </c>
      <c r="T25" s="207">
        <v>830</v>
      </c>
      <c r="U25" s="206">
        <v>95</v>
      </c>
      <c r="V25" s="234">
        <f t="shared" si="1"/>
        <v>13.178114981833728</v>
      </c>
      <c r="W25" s="235">
        <f t="shared" si="2"/>
        <v>0.3296711213572998</v>
      </c>
      <c r="X25" s="260">
        <f>Q25/P25</f>
        <v>0.3296711213572998</v>
      </c>
      <c r="Y25" s="260">
        <f>R25/O25</f>
        <v>0.2085330930853631</v>
      </c>
      <c r="Z25" s="208">
        <f>ROUND(X25*'[2]Part-I'!P24,5)</f>
        <v>0.0711</v>
      </c>
      <c r="AA25" s="208">
        <v>0.03738</v>
      </c>
      <c r="AB25" s="208">
        <v>142.24304625504232</v>
      </c>
      <c r="AC25" s="208">
        <v>113.51531144472253</v>
      </c>
      <c r="AD25" s="208">
        <v>3.08302</v>
      </c>
      <c r="AL25" s="208">
        <v>3.08302</v>
      </c>
      <c r="AM25" s="208">
        <f t="shared" si="7"/>
        <v>0</v>
      </c>
      <c r="AN25" s="208">
        <f>'Part-II'!K25/'Part-I'!AL25</f>
        <v>97.41098987356553</v>
      </c>
      <c r="AO25" s="208">
        <v>1.94327</v>
      </c>
      <c r="AP25" s="208">
        <f t="shared" si="8"/>
        <v>0.615720948939676</v>
      </c>
      <c r="AQ25" s="208">
        <f t="shared" si="9"/>
        <v>0.03427483441560548</v>
      </c>
      <c r="AR25" s="208">
        <f t="shared" si="10"/>
        <v>0.3500042166447184</v>
      </c>
      <c r="AS25" s="208">
        <f t="shared" si="11"/>
        <v>1.89828</v>
      </c>
      <c r="AT25" s="208">
        <f t="shared" si="12"/>
        <v>0.10567</v>
      </c>
      <c r="AU25" s="208">
        <f t="shared" si="13"/>
        <v>1.07907</v>
      </c>
      <c r="AV25" s="287">
        <f t="shared" si="14"/>
        <v>3.0830200000000003</v>
      </c>
      <c r="AW25" s="287">
        <v>0.5321622038078027</v>
      </c>
      <c r="AX25" s="287">
        <f>'[6]Part-I'!$U$13/'[6]Part-I'!$R$13</f>
        <v>0.2085330930853631</v>
      </c>
      <c r="AY25" s="208">
        <f t="shared" si="15"/>
        <v>0.22502180475562275</v>
      </c>
      <c r="AZ25" s="208">
        <v>0.3296711213572998</v>
      </c>
      <c r="BA25" s="287">
        <f t="shared" si="16"/>
        <v>1.0163826605669826</v>
      </c>
      <c r="BB25" s="287">
        <f t="shared" si="17"/>
        <v>0</v>
      </c>
      <c r="BC25" s="208">
        <f>'[4]Part-I'!R25/'[4]Part-I'!O25</f>
        <v>0.3038964783909454</v>
      </c>
      <c r="BD25" s="208">
        <f t="shared" si="5"/>
        <v>0.32792557293731744</v>
      </c>
      <c r="BE25" s="287">
        <f t="shared" si="18"/>
        <v>0.1029037681816947</v>
      </c>
      <c r="BF25" s="208">
        <v>1</v>
      </c>
      <c r="BG25" s="208">
        <v>653</v>
      </c>
      <c r="BH25" s="208">
        <v>95</v>
      </c>
      <c r="BI25" s="208">
        <f t="shared" si="19"/>
        <v>-11</v>
      </c>
      <c r="BJ25" s="208">
        <f t="shared" si="20"/>
        <v>-177</v>
      </c>
      <c r="BK25" s="208">
        <f t="shared" si="21"/>
        <v>0</v>
      </c>
    </row>
    <row r="26" spans="1:38" s="173" customFormat="1" ht="26.25" customHeight="1">
      <c r="A26" s="265"/>
      <c r="B26" s="169" t="s">
        <v>36</v>
      </c>
      <c r="C26" s="169">
        <f aca="true" t="shared" si="22" ref="C26:U26">SUM(C13:C25)</f>
        <v>633775</v>
      </c>
      <c r="D26" s="169">
        <f t="shared" si="22"/>
        <v>278529</v>
      </c>
      <c r="E26" s="169">
        <f t="shared" si="22"/>
        <v>161162</v>
      </c>
      <c r="F26" s="169">
        <f t="shared" si="22"/>
        <v>180087</v>
      </c>
      <c r="G26" s="169">
        <f t="shared" si="22"/>
        <v>619778</v>
      </c>
      <c r="H26" s="169">
        <f t="shared" si="22"/>
        <v>306549</v>
      </c>
      <c r="I26" s="418">
        <f>SUM(I13:I25)</f>
        <v>0</v>
      </c>
      <c r="J26" s="169">
        <f>SUM(J13:J25)</f>
        <v>300655</v>
      </c>
      <c r="K26" s="169">
        <f>SUM(K13:K25)</f>
        <v>90239</v>
      </c>
      <c r="L26" s="168">
        <f>SUM(L13:L25)</f>
        <v>0</v>
      </c>
      <c r="M26" s="170">
        <f t="shared" si="22"/>
        <v>29.50515</v>
      </c>
      <c r="N26" s="170">
        <f t="shared" si="22"/>
        <v>17.64166</v>
      </c>
      <c r="O26" s="170">
        <f t="shared" si="22"/>
        <v>20.117449999999998</v>
      </c>
      <c r="P26" s="170">
        <f t="shared" si="22"/>
        <v>67.26426000000001</v>
      </c>
      <c r="Q26" s="170">
        <f t="shared" si="22"/>
        <v>30.548330992097103</v>
      </c>
      <c r="R26" s="170">
        <f t="shared" si="22"/>
        <v>4.195154073490138</v>
      </c>
      <c r="S26" s="171">
        <f t="shared" si="22"/>
        <v>404</v>
      </c>
      <c r="T26" s="171">
        <f t="shared" si="22"/>
        <v>15598</v>
      </c>
      <c r="U26" s="171">
        <f t="shared" si="22"/>
        <v>924</v>
      </c>
      <c r="V26" s="237">
        <f t="shared" si="1"/>
        <v>22.372573215146932</v>
      </c>
      <c r="W26" s="236">
        <f t="shared" si="2"/>
        <v>0.4541539740732612</v>
      </c>
      <c r="X26" s="261"/>
      <c r="Y26" s="261"/>
      <c r="Z26" s="261"/>
      <c r="AA26" s="261"/>
      <c r="AB26" s="261"/>
      <c r="AC26" s="208">
        <f>'Part-II'!K26/'Part-I'!P26</f>
        <v>96.54822233976854</v>
      </c>
      <c r="AL26" s="173">
        <f>SUM(AL13:AL25)</f>
        <v>67.26426338581169</v>
      </c>
    </row>
    <row r="27" spans="1:23" s="225" customFormat="1" ht="37.5" customHeight="1">
      <c r="A27" s="282"/>
      <c r="B27" s="329"/>
      <c r="C27" s="329"/>
      <c r="D27" s="330">
        <v>213245</v>
      </c>
      <c r="E27" s="330">
        <v>101708</v>
      </c>
      <c r="F27" s="330">
        <v>317233</v>
      </c>
      <c r="G27" s="330">
        <f>SUM(D27:F27)</f>
        <v>632186</v>
      </c>
      <c r="H27" s="331">
        <v>300656</v>
      </c>
      <c r="I27" s="331">
        <v>2.813</v>
      </c>
      <c r="J27" s="307">
        <f>P26/I27</f>
        <v>23.911930323498044</v>
      </c>
      <c r="K27" s="282"/>
      <c r="L27" s="226"/>
      <c r="P27" s="227">
        <f>P26-'[5]Part-I'!$P$26</f>
        <v>13.787230000000015</v>
      </c>
      <c r="T27" s="225" t="s">
        <v>119</v>
      </c>
      <c r="V27" s="225">
        <f t="shared" si="1"/>
        <v>57658.37309441901</v>
      </c>
      <c r="W27" s="225">
        <f t="shared" si="2"/>
        <v>0</v>
      </c>
    </row>
    <row r="28" spans="2:38" s="221" customFormat="1" ht="15.75">
      <c r="B28" s="141"/>
      <c r="C28" s="266"/>
      <c r="D28" s="266"/>
      <c r="E28" s="266"/>
      <c r="F28" s="266"/>
      <c r="G28" s="266">
        <f>G27-G26</f>
        <v>12408</v>
      </c>
      <c r="H28" s="223">
        <f>H27/100000</f>
        <v>3.00656</v>
      </c>
      <c r="I28" s="222">
        <f>P26/H28</f>
        <v>22.372498802618278</v>
      </c>
      <c r="J28" s="220"/>
      <c r="L28" s="222"/>
      <c r="M28" s="228"/>
      <c r="N28" s="228"/>
      <c r="O28" s="228"/>
      <c r="P28" s="228"/>
      <c r="Q28" s="220"/>
      <c r="R28" s="244"/>
      <c r="T28" s="220" t="s">
        <v>119</v>
      </c>
      <c r="V28" s="172"/>
      <c r="W28" s="224"/>
      <c r="X28" s="262"/>
      <c r="Y28" s="262"/>
      <c r="Z28" s="262"/>
      <c r="AA28" s="262"/>
      <c r="AB28" s="262"/>
      <c r="AL28" s="221" t="s">
        <v>119</v>
      </c>
    </row>
    <row r="29" spans="3:28" ht="13.5" customHeight="1">
      <c r="C29" s="267"/>
      <c r="D29" s="267"/>
      <c r="E29" s="267" t="s">
        <v>119</v>
      </c>
      <c r="F29" s="267"/>
      <c r="G29" s="267"/>
      <c r="H29" s="245"/>
      <c r="J29" s="45"/>
      <c r="L29" s="309"/>
      <c r="M29" s="231"/>
      <c r="N29" s="231"/>
      <c r="O29" s="231"/>
      <c r="P29" s="232"/>
      <c r="Q29" s="191"/>
      <c r="R29" s="191"/>
      <c r="V29" s="172"/>
      <c r="W29" s="201"/>
      <c r="X29" s="263"/>
      <c r="Y29" s="263"/>
      <c r="Z29" s="263"/>
      <c r="AA29" s="263"/>
      <c r="AB29" s="263"/>
    </row>
    <row r="30" spans="3:28" ht="16.5">
      <c r="C30" s="267"/>
      <c r="D30" s="267"/>
      <c r="E30" s="267" t="s">
        <v>119</v>
      </c>
      <c r="F30" s="267"/>
      <c r="G30" s="267"/>
      <c r="J30" s="45"/>
      <c r="L30" s="200"/>
      <c r="P30" s="45"/>
      <c r="Q30" s="45"/>
      <c r="R30" s="45"/>
      <c r="V30" s="172"/>
      <c r="W30" s="201"/>
      <c r="X30" s="263"/>
      <c r="Y30" s="263"/>
      <c r="Z30" s="263"/>
      <c r="AA30" s="263"/>
      <c r="AB30" s="263"/>
    </row>
    <row r="31" spans="3:20" ht="14.25" customHeight="1">
      <c r="C31" s="267"/>
      <c r="D31" s="267" t="s">
        <v>119</v>
      </c>
      <c r="E31" s="267"/>
      <c r="F31" s="267"/>
      <c r="G31" s="267"/>
      <c r="L31" s="200"/>
      <c r="M31" s="229"/>
      <c r="N31" s="229"/>
      <c r="O31" s="229"/>
      <c r="Q31" s="101" t="s">
        <v>134</v>
      </c>
      <c r="R31" s="101"/>
      <c r="T31" s="1" t="s">
        <v>119</v>
      </c>
    </row>
    <row r="32" spans="4:18" ht="16.5">
      <c r="D32" s="1" t="s">
        <v>119</v>
      </c>
      <c r="M32" s="191"/>
      <c r="N32" s="191"/>
      <c r="O32" s="191"/>
      <c r="Q32" s="103" t="s">
        <v>135</v>
      </c>
      <c r="R32" s="103"/>
    </row>
    <row r="33" spans="13:18" ht="16.5">
      <c r="M33" s="27"/>
      <c r="Q33" s="103" t="s">
        <v>115</v>
      </c>
      <c r="R33" s="103"/>
    </row>
    <row r="34" spans="17:18" ht="16.5">
      <c r="Q34" s="105" t="s">
        <v>136</v>
      </c>
      <c r="R34" s="105"/>
    </row>
    <row r="35" spans="17:47" ht="16.5">
      <c r="Q35" s="103" t="s">
        <v>117</v>
      </c>
      <c r="R35" s="103"/>
      <c r="AU35" s="1" t="s">
        <v>119</v>
      </c>
    </row>
  </sheetData>
  <sheetProtection/>
  <mergeCells count="32">
    <mergeCell ref="C10:C11"/>
    <mergeCell ref="A10:A11"/>
    <mergeCell ref="B10:B11"/>
    <mergeCell ref="A8:A9"/>
    <mergeCell ref="B8:B9"/>
    <mergeCell ref="D8:G8"/>
    <mergeCell ref="D10:G10"/>
    <mergeCell ref="I10:I11"/>
    <mergeCell ref="I8:I9"/>
    <mergeCell ref="L10:L11"/>
    <mergeCell ref="K10:K11"/>
    <mergeCell ref="K8:K9"/>
    <mergeCell ref="H10:H11"/>
    <mergeCell ref="H8:H9"/>
    <mergeCell ref="J10:J11"/>
    <mergeCell ref="J8:J9"/>
    <mergeCell ref="L8:L9"/>
    <mergeCell ref="M10:R10"/>
    <mergeCell ref="U8:U9"/>
    <mergeCell ref="S10:S11"/>
    <mergeCell ref="T10:T11"/>
    <mergeCell ref="U10:U11"/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</mergeCells>
  <conditionalFormatting sqref="W28:AB30 W13:Y26 Z26:AB26">
    <cfRule type="cellIs" priority="1" dxfId="6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5"/>
  <sheetViews>
    <sheetView tabSelected="1"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K14" sqref="K14:O14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11.421875" style="4" customWidth="1"/>
    <col min="7" max="7" width="8.8515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2812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3" width="9.140625" style="4" hidden="1" customWidth="1"/>
    <col min="24" max="24" width="8.421875" style="4" hidden="1" customWidth="1"/>
    <col min="25" max="25" width="10.28125" style="4" customWidth="1"/>
    <col min="26" max="26" width="10.00390625" style="4" customWidth="1"/>
    <col min="27" max="27" width="9.57421875" style="4" bestFit="1" customWidth="1"/>
    <col min="28" max="28" width="11.140625" style="4" customWidth="1"/>
    <col min="29" max="29" width="9.140625" style="4" customWidth="1"/>
    <col min="30" max="30" width="10.8515625" style="4" customWidth="1"/>
    <col min="31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2" t="s">
        <v>57</v>
      </c>
      <c r="O1" s="322"/>
      <c r="P1" s="322"/>
      <c r="Q1" s="210"/>
    </row>
    <row r="2" spans="1:17" ht="31.5" customHeight="1">
      <c r="A2" s="317" t="s">
        <v>138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213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39" t="s">
        <v>37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211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18" t="s">
        <v>141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212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52" t="s">
        <v>0</v>
      </c>
      <c r="B9" s="352" t="s">
        <v>40</v>
      </c>
      <c r="C9" s="352" t="s">
        <v>137</v>
      </c>
      <c r="D9" s="328" t="s">
        <v>41</v>
      </c>
      <c r="E9" s="328"/>
      <c r="F9" s="319" t="s">
        <v>109</v>
      </c>
      <c r="G9" s="320"/>
      <c r="H9" s="352" t="s">
        <v>42</v>
      </c>
      <c r="I9" s="352" t="s">
        <v>43</v>
      </c>
      <c r="J9" s="325" t="s">
        <v>52</v>
      </c>
      <c r="K9" s="324" t="s">
        <v>44</v>
      </c>
      <c r="L9" s="324"/>
      <c r="M9" s="324"/>
      <c r="N9" s="324"/>
      <c r="O9" s="324"/>
      <c r="P9" s="324"/>
      <c r="Q9" s="214"/>
    </row>
    <row r="10" spans="1:23" s="13" customFormat="1" ht="46.5" customHeight="1">
      <c r="A10" s="353"/>
      <c r="B10" s="353"/>
      <c r="C10" s="353"/>
      <c r="D10" s="354" t="s">
        <v>45</v>
      </c>
      <c r="E10" s="354" t="s">
        <v>46</v>
      </c>
      <c r="F10" s="354" t="s">
        <v>45</v>
      </c>
      <c r="G10" s="354" t="s">
        <v>46</v>
      </c>
      <c r="H10" s="353"/>
      <c r="I10" s="353"/>
      <c r="J10" s="326"/>
      <c r="K10" s="328" t="s">
        <v>47</v>
      </c>
      <c r="L10" s="328" t="s">
        <v>48</v>
      </c>
      <c r="M10" s="328" t="s">
        <v>49</v>
      </c>
      <c r="N10" s="328" t="s">
        <v>53</v>
      </c>
      <c r="O10" s="321"/>
      <c r="P10" s="321" t="s">
        <v>56</v>
      </c>
      <c r="Q10" s="351" t="s">
        <v>120</v>
      </c>
      <c r="R10" s="351"/>
      <c r="S10" s="351" t="s">
        <v>132</v>
      </c>
      <c r="T10" s="351" t="s">
        <v>133</v>
      </c>
      <c r="U10" s="351" t="s">
        <v>120</v>
      </c>
      <c r="V10" s="351" t="s">
        <v>120</v>
      </c>
      <c r="W10" s="351" t="s">
        <v>120</v>
      </c>
    </row>
    <row r="11" spans="1:23" s="13" customFormat="1" ht="26.25" customHeight="1">
      <c r="A11" s="323"/>
      <c r="B11" s="323"/>
      <c r="C11" s="323"/>
      <c r="D11" s="355"/>
      <c r="E11" s="355"/>
      <c r="F11" s="355"/>
      <c r="G11" s="355"/>
      <c r="H11" s="323"/>
      <c r="I11" s="323"/>
      <c r="J11" s="327"/>
      <c r="K11" s="321"/>
      <c r="L11" s="321"/>
      <c r="M11" s="321"/>
      <c r="N11" s="164" t="s">
        <v>54</v>
      </c>
      <c r="O11" s="164" t="s">
        <v>55</v>
      </c>
      <c r="P11" s="321"/>
      <c r="Q11" s="351"/>
      <c r="R11" s="351"/>
      <c r="S11" s="351"/>
      <c r="T11" s="351"/>
      <c r="U11" s="351"/>
      <c r="V11" s="351"/>
      <c r="W11" s="351"/>
    </row>
    <row r="12" spans="1:23" s="9" customFormat="1" ht="12.75" customHeight="1">
      <c r="A12" s="14"/>
      <c r="B12" s="165">
        <v>1</v>
      </c>
      <c r="C12" s="166">
        <v>2</v>
      </c>
      <c r="D12" s="165">
        <v>3</v>
      </c>
      <c r="E12" s="166">
        <v>4</v>
      </c>
      <c r="F12" s="165">
        <v>5</v>
      </c>
      <c r="G12" s="166">
        <v>6</v>
      </c>
      <c r="H12" s="165">
        <v>7</v>
      </c>
      <c r="I12" s="166">
        <v>8</v>
      </c>
      <c r="J12" s="238">
        <v>9</v>
      </c>
      <c r="K12" s="166">
        <v>10</v>
      </c>
      <c r="L12" s="165">
        <v>11</v>
      </c>
      <c r="M12" s="166">
        <v>12</v>
      </c>
      <c r="N12" s="165">
        <v>13</v>
      </c>
      <c r="O12" s="166">
        <v>14</v>
      </c>
      <c r="P12" s="165">
        <v>15</v>
      </c>
      <c r="Q12" s="351"/>
      <c r="R12" s="351"/>
      <c r="S12" s="351"/>
      <c r="T12" s="351"/>
      <c r="U12" s="351"/>
      <c r="V12" s="351"/>
      <c r="W12" s="351"/>
    </row>
    <row r="13" spans="1:48" s="9" customFormat="1" ht="21.75" customHeight="1">
      <c r="A13" s="270">
        <v>1</v>
      </c>
      <c r="B13" s="271" t="s">
        <v>23</v>
      </c>
      <c r="C13" s="146">
        <v>55.10419569999992</v>
      </c>
      <c r="D13" s="150"/>
      <c r="E13" s="150"/>
      <c r="F13" s="358">
        <v>629.90444</v>
      </c>
      <c r="G13" s="359"/>
      <c r="H13" s="146"/>
      <c r="I13" s="146">
        <f>SUM(C13:H13)</f>
        <v>685.0086356999999</v>
      </c>
      <c r="J13" s="272"/>
      <c r="K13" s="144">
        <v>394.64355</v>
      </c>
      <c r="L13" s="144">
        <v>17.3083</v>
      </c>
      <c r="M13" s="144">
        <v>125.38069</v>
      </c>
      <c r="N13" s="144">
        <v>53.60134</v>
      </c>
      <c r="O13" s="144">
        <v>8.44404</v>
      </c>
      <c r="P13" s="218">
        <f>SUM(K13:O13)</f>
        <v>599.37792</v>
      </c>
      <c r="Q13" s="218">
        <f>I13-P13</f>
        <v>85.63071569999988</v>
      </c>
      <c r="R13" s="193">
        <f>K13/'Part-I'!P13</f>
        <v>97.83346100356238</v>
      </c>
      <c r="S13" s="193">
        <v>274.403636</v>
      </c>
      <c r="T13" s="273">
        <f>P13-S13</f>
        <v>324.974284</v>
      </c>
      <c r="U13" s="9">
        <v>61.85</v>
      </c>
      <c r="V13" s="24"/>
      <c r="W13" s="24">
        <f>P13-'[1]Part-II'!P13</f>
        <v>186.47626000000002</v>
      </c>
      <c r="X13" s="24">
        <f>M13-'[1]Part-II'!M13</f>
        <v>77.3267</v>
      </c>
      <c r="Y13" s="24">
        <f>P13/$P$26</f>
        <v>0.06385642763241471</v>
      </c>
      <c r="Z13" s="24">
        <f>Y13*$P$31</f>
        <v>594.9652377871602</v>
      </c>
      <c r="AA13" s="24">
        <v>574.458936</v>
      </c>
      <c r="AB13" s="24">
        <v>599.3779151679097</v>
      </c>
      <c r="AC13" s="24">
        <f>AB13-AA13</f>
        <v>24.918979167909697</v>
      </c>
      <c r="AD13" s="24">
        <v>438.041566</v>
      </c>
      <c r="AE13" s="24">
        <f>AB13-AD13</f>
        <v>161.3363491679097</v>
      </c>
      <c r="AF13" s="24">
        <f>K13/$P13</f>
        <v>0.658421901827815</v>
      </c>
      <c r="AG13" s="24">
        <f>L13/$P13</f>
        <v>0.028877106450634682</v>
      </c>
      <c r="AH13" s="24">
        <f>M13/$P13</f>
        <v>0.2091846993629662</v>
      </c>
      <c r="AI13" s="24">
        <f>N13/$P13</f>
        <v>0.08942828591350178</v>
      </c>
      <c r="AJ13" s="24">
        <f>O13/$P13</f>
        <v>0.01408800644508226</v>
      </c>
      <c r="AK13" s="9">
        <f>ROUND($AB13*AF13,5)</f>
        <v>394.64355</v>
      </c>
      <c r="AL13" s="9">
        <f>ROUND($AB13*AG13,5)</f>
        <v>17.3083</v>
      </c>
      <c r="AM13" s="9">
        <f>ROUND($AB13*AH13,5)</f>
        <v>125.38069</v>
      </c>
      <c r="AN13" s="9">
        <f>ROUND($AB13*AI13,5)</f>
        <v>53.60134</v>
      </c>
      <c r="AO13" s="9">
        <f>ROUND($AB13*AJ13,5)</f>
        <v>8.44404</v>
      </c>
      <c r="AP13" s="292">
        <f>SUM(AK13:AO13)</f>
        <v>599.37792</v>
      </c>
      <c r="AQ13" s="24"/>
      <c r="AR13" s="24"/>
      <c r="AS13" s="24"/>
      <c r="AT13" s="24"/>
      <c r="AU13" s="24"/>
      <c r="AV13" s="24"/>
    </row>
    <row r="14" spans="1:48" s="9" customFormat="1" ht="21.75" customHeight="1">
      <c r="A14" s="274">
        <v>2</v>
      </c>
      <c r="B14" s="275" t="s">
        <v>24</v>
      </c>
      <c r="C14" s="150">
        <v>27.142574000000018</v>
      </c>
      <c r="D14" s="150"/>
      <c r="E14" s="150"/>
      <c r="F14" s="358">
        <v>634.45605</v>
      </c>
      <c r="G14" s="359"/>
      <c r="H14" s="150"/>
      <c r="I14" s="146">
        <f aca="true" t="shared" si="0" ref="I14:I25">SUM(C14:H14)</f>
        <v>661.598624</v>
      </c>
      <c r="J14" s="272"/>
      <c r="K14" s="151">
        <v>435.72162</v>
      </c>
      <c r="L14" s="151">
        <v>8.19487</v>
      </c>
      <c r="M14" s="151">
        <v>129.36268</v>
      </c>
      <c r="N14" s="151">
        <v>16.23802</v>
      </c>
      <c r="O14" s="151">
        <v>0.19275</v>
      </c>
      <c r="P14" s="218">
        <f aca="true" t="shared" si="1" ref="P14:P28">SUM(K14:O14)</f>
        <v>589.7099400000001</v>
      </c>
      <c r="Q14" s="218">
        <f aca="true" t="shared" si="2" ref="Q14:Q27">I14-P14</f>
        <v>71.8886839999999</v>
      </c>
      <c r="R14" s="193">
        <f>K14/'Part-I'!P14</f>
        <v>101.59001823260326</v>
      </c>
      <c r="S14" s="193">
        <v>304.41071</v>
      </c>
      <c r="T14" s="273">
        <f aca="true" t="shared" si="3" ref="T14:T25">P14-S14</f>
        <v>285.2992300000001</v>
      </c>
      <c r="U14" s="9">
        <v>36.857749999999996</v>
      </c>
      <c r="V14" s="24"/>
      <c r="W14" s="24">
        <f>P14-'[1]Part-II'!P14</f>
        <v>-9.028019999999856</v>
      </c>
      <c r="X14" s="24">
        <f>M14-'[1]Part-II'!M14</f>
        <v>-8.386029999999977</v>
      </c>
      <c r="Y14" s="24">
        <f aca="true" t="shared" si="4" ref="Y14:Y25">P14/$P$26</f>
        <v>0.06282642194715085</v>
      </c>
      <c r="Z14" s="24">
        <v>589.709946527433</v>
      </c>
      <c r="AA14" s="24">
        <v>470.19562</v>
      </c>
      <c r="AB14" s="24">
        <v>589.709946527433</v>
      </c>
      <c r="AC14" s="24">
        <f aca="true" t="shared" si="5" ref="AC14:AC25">AB14-AA14</f>
        <v>119.51432652743296</v>
      </c>
      <c r="AD14" s="24">
        <v>392.23205</v>
      </c>
      <c r="AE14" s="24">
        <f aca="true" t="shared" si="6" ref="AE14:AE25">AB14-AD14</f>
        <v>197.47789652743296</v>
      </c>
      <c r="AF14" s="24">
        <f aca="true" t="shared" si="7" ref="AF14:AF24">K14/P14</f>
        <v>0.7388744710662328</v>
      </c>
      <c r="AG14" s="24">
        <f aca="true" t="shared" si="8" ref="AG14:AG25">L14/$P14</f>
        <v>0.0138964420372497</v>
      </c>
      <c r="AH14" s="24">
        <f aca="true" t="shared" si="9" ref="AH14:AH25">M14/$P14</f>
        <v>0.21936662624340367</v>
      </c>
      <c r="AI14" s="24">
        <f aca="true" t="shared" si="10" ref="AI14:AI25">N14/$P14</f>
        <v>0.027535605046779432</v>
      </c>
      <c r="AJ14" s="24">
        <f aca="true" t="shared" si="11" ref="AJ14:AJ25">O14/$P14</f>
        <v>0.000326855606334192</v>
      </c>
      <c r="AK14" s="9">
        <f aca="true" t="shared" si="12" ref="AK14:AK25">ROUND($AB14*AF14,5)</f>
        <v>435.72162</v>
      </c>
      <c r="AL14" s="9">
        <f aca="true" t="shared" si="13" ref="AL14:AL25">ROUND($AB14*AG14,5)</f>
        <v>8.19487</v>
      </c>
      <c r="AM14" s="9">
        <f aca="true" t="shared" si="14" ref="AM14:AM25">ROUND($AB14*AH14,5)</f>
        <v>129.36268</v>
      </c>
      <c r="AN14" s="9">
        <f aca="true" t="shared" si="15" ref="AN14:AN25">ROUND($AB14*AI14,5)</f>
        <v>16.23802</v>
      </c>
      <c r="AO14" s="9">
        <f aca="true" t="shared" si="16" ref="AO14:AO25">ROUND($AB14*AJ14,5)</f>
        <v>0.19275</v>
      </c>
      <c r="AP14" s="292">
        <f aca="true" t="shared" si="17" ref="AP14:AP25">SUM(AK14:AO14)</f>
        <v>589.7099400000001</v>
      </c>
      <c r="AQ14" s="24"/>
      <c r="AR14" s="24"/>
      <c r="AS14" s="24"/>
      <c r="AT14" s="24"/>
      <c r="AU14" s="24"/>
      <c r="AV14" s="24"/>
    </row>
    <row r="15" spans="1:48" s="9" customFormat="1" ht="21.75" customHeight="1">
      <c r="A15" s="270">
        <v>3</v>
      </c>
      <c r="B15" s="271" t="s">
        <v>25</v>
      </c>
      <c r="C15" s="146">
        <v>55.21214909999996</v>
      </c>
      <c r="D15" s="150"/>
      <c r="E15" s="150"/>
      <c r="F15" s="358">
        <v>2064.55129</v>
      </c>
      <c r="G15" s="359"/>
      <c r="H15" s="146"/>
      <c r="I15" s="146">
        <f t="shared" si="0"/>
        <v>2119.7634390999997</v>
      </c>
      <c r="J15" s="272"/>
      <c r="K15" s="144">
        <v>1232.05706</v>
      </c>
      <c r="L15" s="144">
        <v>100.07329</v>
      </c>
      <c r="M15" s="144">
        <v>489.71298</v>
      </c>
      <c r="N15" s="144">
        <v>21.29181</v>
      </c>
      <c r="O15" s="144">
        <v>35.99159</v>
      </c>
      <c r="P15" s="218">
        <f t="shared" si="1"/>
        <v>1879.1267300000002</v>
      </c>
      <c r="Q15" s="218">
        <f t="shared" si="2"/>
        <v>240.6367090999995</v>
      </c>
      <c r="R15" s="193">
        <f>K15/'Part-I'!P15</f>
        <v>100.05937176669704</v>
      </c>
      <c r="S15" s="193">
        <v>959.12689</v>
      </c>
      <c r="T15" s="273">
        <f t="shared" si="3"/>
        <v>919.9998400000002</v>
      </c>
      <c r="U15" s="9">
        <v>166.16731999999996</v>
      </c>
      <c r="V15" s="24"/>
      <c r="W15" s="24">
        <f>P15-'[1]Part-II'!P15</f>
        <v>1029.6801200000002</v>
      </c>
      <c r="X15" s="24">
        <f>M15-'[1]Part-II'!M15</f>
        <v>317.06714</v>
      </c>
      <c r="Y15" s="24">
        <f t="shared" si="4"/>
        <v>0.20019809879947045</v>
      </c>
      <c r="Z15" s="24">
        <v>1879.1267200000002</v>
      </c>
      <c r="AA15" s="24">
        <v>1879.1267200000002</v>
      </c>
      <c r="AB15" s="24">
        <v>1879.1267200000002</v>
      </c>
      <c r="AC15" s="24">
        <f t="shared" si="5"/>
        <v>0</v>
      </c>
      <c r="AD15" s="24">
        <v>1278.7301000000002</v>
      </c>
      <c r="AE15" s="24">
        <f t="shared" si="6"/>
        <v>600.39662</v>
      </c>
      <c r="AF15" s="24">
        <f t="shared" si="7"/>
        <v>0.6556540547959743</v>
      </c>
      <c r="AG15" s="24">
        <f t="shared" si="8"/>
        <v>0.05325521073291315</v>
      </c>
      <c r="AH15" s="24">
        <f t="shared" si="9"/>
        <v>0.2606066808490346</v>
      </c>
      <c r="AI15" s="24">
        <f t="shared" si="10"/>
        <v>0.011330694018705166</v>
      </c>
      <c r="AJ15" s="24">
        <f t="shared" si="11"/>
        <v>0.019153359603372784</v>
      </c>
      <c r="AK15" s="9">
        <f t="shared" si="12"/>
        <v>1232.05705</v>
      </c>
      <c r="AL15" s="9">
        <f t="shared" si="13"/>
        <v>100.07329</v>
      </c>
      <c r="AM15" s="9">
        <f t="shared" si="14"/>
        <v>489.71298</v>
      </c>
      <c r="AN15" s="9">
        <f t="shared" si="15"/>
        <v>21.29181</v>
      </c>
      <c r="AO15" s="9">
        <f t="shared" si="16"/>
        <v>35.99159</v>
      </c>
      <c r="AP15" s="292">
        <f t="shared" si="17"/>
        <v>1879.12672</v>
      </c>
      <c r="AQ15" s="24"/>
      <c r="AR15" s="24"/>
      <c r="AS15" s="24"/>
      <c r="AT15" s="24"/>
      <c r="AU15" s="24"/>
      <c r="AV15" s="24"/>
    </row>
    <row r="16" spans="1:48" s="9" customFormat="1" ht="21.75" customHeight="1">
      <c r="A16" s="270">
        <v>4</v>
      </c>
      <c r="B16" s="271" t="s">
        <v>26</v>
      </c>
      <c r="C16" s="146">
        <v>68.19808800000007</v>
      </c>
      <c r="D16" s="150"/>
      <c r="E16" s="150"/>
      <c r="F16" s="358">
        <v>714.63464</v>
      </c>
      <c r="G16" s="359"/>
      <c r="H16" s="146"/>
      <c r="I16" s="146">
        <f t="shared" si="0"/>
        <v>782.8327280000001</v>
      </c>
      <c r="J16" s="272"/>
      <c r="K16" s="144">
        <v>436.31157</v>
      </c>
      <c r="L16" s="144">
        <v>21.89397</v>
      </c>
      <c r="M16" s="144">
        <v>137.96763</v>
      </c>
      <c r="N16" s="144">
        <v>4.76179</v>
      </c>
      <c r="O16" s="144">
        <v>7.65194</v>
      </c>
      <c r="P16" s="218">
        <f t="shared" si="1"/>
        <v>608.5869</v>
      </c>
      <c r="Q16" s="218">
        <f t="shared" si="2"/>
        <v>174.24582800000007</v>
      </c>
      <c r="R16" s="193">
        <f>K16/'Part-I'!P16</f>
        <v>102.32927670153386</v>
      </c>
      <c r="S16" s="193">
        <v>292.43390999999997</v>
      </c>
      <c r="T16" s="273">
        <f t="shared" si="3"/>
        <v>316.15299000000005</v>
      </c>
      <c r="U16" s="9">
        <v>44.84509000000001</v>
      </c>
      <c r="V16" s="24"/>
      <c r="W16" s="24">
        <f>P16-'[1]Part-II'!P16</f>
        <v>288.47949</v>
      </c>
      <c r="X16" s="24">
        <f>M16-'[1]Part-II'!M16</f>
        <v>75.95043000000001</v>
      </c>
      <c r="Y16" s="24">
        <f t="shared" si="4"/>
        <v>0.06483753245012029</v>
      </c>
      <c r="Z16" s="24">
        <f>Y16*$P$31</f>
        <v>604.1064203243433</v>
      </c>
      <c r="AA16" s="24">
        <v>553.87658</v>
      </c>
      <c r="AB16" s="24">
        <v>608.5869007544946</v>
      </c>
      <c r="AC16" s="24">
        <f t="shared" si="5"/>
        <v>54.71032075449466</v>
      </c>
      <c r="AD16" s="24">
        <v>423.00939</v>
      </c>
      <c r="AE16" s="24">
        <f t="shared" si="6"/>
        <v>185.57751075449465</v>
      </c>
      <c r="AF16" s="24">
        <f t="shared" si="7"/>
        <v>0.7169256682981511</v>
      </c>
      <c r="AG16" s="24">
        <f t="shared" si="8"/>
        <v>0.03597509246419862</v>
      </c>
      <c r="AH16" s="24">
        <f t="shared" si="9"/>
        <v>0.22670160990977625</v>
      </c>
      <c r="AI16" s="24">
        <f t="shared" si="10"/>
        <v>0.00782433864416076</v>
      </c>
      <c r="AJ16" s="24">
        <f t="shared" si="11"/>
        <v>0.012573290683713368</v>
      </c>
      <c r="AK16" s="9">
        <f t="shared" si="12"/>
        <v>436.31157</v>
      </c>
      <c r="AL16" s="9">
        <f t="shared" si="13"/>
        <v>21.89397</v>
      </c>
      <c r="AM16" s="9">
        <f t="shared" si="14"/>
        <v>137.96763</v>
      </c>
      <c r="AN16" s="9">
        <f t="shared" si="15"/>
        <v>4.76179</v>
      </c>
      <c r="AO16" s="9">
        <f t="shared" si="16"/>
        <v>7.65194</v>
      </c>
      <c r="AP16" s="292">
        <f t="shared" si="17"/>
        <v>608.5869</v>
      </c>
      <c r="AQ16" s="24"/>
      <c r="AR16" s="24"/>
      <c r="AS16" s="24"/>
      <c r="AT16" s="24"/>
      <c r="AU16" s="24"/>
      <c r="AV16" s="24"/>
    </row>
    <row r="17" spans="1:48" s="9" customFormat="1" ht="21.75" customHeight="1">
      <c r="A17" s="270">
        <v>5</v>
      </c>
      <c r="B17" s="271" t="s">
        <v>27</v>
      </c>
      <c r="C17" s="146">
        <v>43.472628600000036</v>
      </c>
      <c r="D17" s="150"/>
      <c r="E17" s="150"/>
      <c r="F17" s="358">
        <v>883.75378</v>
      </c>
      <c r="G17" s="359"/>
      <c r="H17" s="146"/>
      <c r="I17" s="146">
        <f t="shared" si="0"/>
        <v>927.2264086</v>
      </c>
      <c r="J17" s="272"/>
      <c r="K17" s="144">
        <v>524.7777</v>
      </c>
      <c r="L17" s="144">
        <v>28.468</v>
      </c>
      <c r="M17" s="144">
        <v>157.37774</v>
      </c>
      <c r="N17" s="144">
        <v>30.01212</v>
      </c>
      <c r="O17" s="144">
        <v>12.01128</v>
      </c>
      <c r="P17" s="218">
        <f t="shared" si="1"/>
        <v>752.6468399999999</v>
      </c>
      <c r="Q17" s="218">
        <f t="shared" si="2"/>
        <v>174.57956860000013</v>
      </c>
      <c r="R17" s="193">
        <f>K17/'Part-I'!P17</f>
        <v>100.78970011485289</v>
      </c>
      <c r="S17" s="193">
        <v>214.06911</v>
      </c>
      <c r="T17" s="273">
        <f t="shared" si="3"/>
        <v>538.5777299999999</v>
      </c>
      <c r="U17" s="9">
        <v>90.28120000000001</v>
      </c>
      <c r="V17" s="24">
        <v>4.31379</v>
      </c>
      <c r="W17" s="276">
        <f>P17-'[1]Part-II'!P17</f>
        <v>161.1673699999999</v>
      </c>
      <c r="X17" s="24">
        <f>M17-'[1]Part-II'!M17</f>
        <v>-1.7412900000000207</v>
      </c>
      <c r="Y17" s="24">
        <f t="shared" si="4"/>
        <v>0.0801853669738545</v>
      </c>
      <c r="Z17" s="24">
        <v>752.64684</v>
      </c>
      <c r="AA17" s="24">
        <v>752.64684</v>
      </c>
      <c r="AB17" s="24">
        <v>752.64684</v>
      </c>
      <c r="AC17" s="24">
        <f t="shared" si="5"/>
        <v>0</v>
      </c>
      <c r="AD17" s="24">
        <v>466.2353</v>
      </c>
      <c r="AE17" s="24">
        <f t="shared" si="6"/>
        <v>286.41154</v>
      </c>
      <c r="AF17" s="24">
        <f t="shared" si="7"/>
        <v>0.6972429459745025</v>
      </c>
      <c r="AG17" s="24">
        <f t="shared" si="8"/>
        <v>0.03782384843335023</v>
      </c>
      <c r="AH17" s="24">
        <f t="shared" si="9"/>
        <v>0.20909905102371787</v>
      </c>
      <c r="AI17" s="24">
        <f t="shared" si="10"/>
        <v>0.03987543480551915</v>
      </c>
      <c r="AJ17" s="24">
        <f t="shared" si="11"/>
        <v>0.015958719762910318</v>
      </c>
      <c r="AK17" s="9">
        <f t="shared" si="12"/>
        <v>524.7777</v>
      </c>
      <c r="AL17" s="9">
        <f t="shared" si="13"/>
        <v>28.468</v>
      </c>
      <c r="AM17" s="9">
        <f t="shared" si="14"/>
        <v>157.37774</v>
      </c>
      <c r="AN17" s="9">
        <f t="shared" si="15"/>
        <v>30.01212</v>
      </c>
      <c r="AO17" s="9">
        <f t="shared" si="16"/>
        <v>12.01128</v>
      </c>
      <c r="AP17" s="292">
        <f t="shared" si="17"/>
        <v>752.6468399999999</v>
      </c>
      <c r="AQ17" s="24"/>
      <c r="AR17" s="24"/>
      <c r="AS17" s="24"/>
      <c r="AT17" s="24"/>
      <c r="AU17" s="24"/>
      <c r="AV17" s="24"/>
    </row>
    <row r="18" spans="1:48" s="9" customFormat="1" ht="21.75" customHeight="1">
      <c r="A18" s="270">
        <v>6</v>
      </c>
      <c r="B18" s="271" t="s">
        <v>28</v>
      </c>
      <c r="C18" s="146">
        <v>10.668948700000072</v>
      </c>
      <c r="D18" s="150"/>
      <c r="E18" s="150"/>
      <c r="F18" s="358">
        <v>1101.03017</v>
      </c>
      <c r="G18" s="359"/>
      <c r="H18" s="146"/>
      <c r="I18" s="146">
        <f t="shared" si="0"/>
        <v>1111.6991187</v>
      </c>
      <c r="J18" s="272"/>
      <c r="K18" s="144">
        <v>677.77197</v>
      </c>
      <c r="L18" s="144">
        <v>46.40929</v>
      </c>
      <c r="M18" s="144">
        <v>304.23349</v>
      </c>
      <c r="N18" s="144">
        <v>12.41147</v>
      </c>
      <c r="O18" s="144">
        <v>17.45218</v>
      </c>
      <c r="P18" s="218">
        <f t="shared" si="1"/>
        <v>1058.2784000000001</v>
      </c>
      <c r="Q18" s="218">
        <f t="shared" si="2"/>
        <v>53.42071869999995</v>
      </c>
      <c r="R18" s="193">
        <f>K18/'Part-I'!P18</f>
        <v>86.30882339832445</v>
      </c>
      <c r="S18" s="193">
        <v>530.32122</v>
      </c>
      <c r="T18" s="273">
        <f t="shared" si="3"/>
        <v>527.9571800000001</v>
      </c>
      <c r="U18" s="9">
        <v>81.51</v>
      </c>
      <c r="V18" s="24"/>
      <c r="W18" s="24">
        <f>P18-'[1]Part-II'!P18</f>
        <v>425.8798600000001</v>
      </c>
      <c r="X18" s="24">
        <f>M18-'[1]Part-II'!M18</f>
        <v>127.95291000000003</v>
      </c>
      <c r="Y18" s="24">
        <f t="shared" si="4"/>
        <v>0.1127466925450768</v>
      </c>
      <c r="Z18" s="24">
        <f>Y18*$P$31</f>
        <v>1050.487245010653</v>
      </c>
      <c r="AA18" s="24">
        <v>1046.52871</v>
      </c>
      <c r="AB18" s="24">
        <v>1058.2783904691153</v>
      </c>
      <c r="AC18" s="24">
        <f t="shared" si="5"/>
        <v>11.74968046911522</v>
      </c>
      <c r="AD18" s="24">
        <v>748.41844</v>
      </c>
      <c r="AE18" s="24">
        <f t="shared" si="6"/>
        <v>309.85995046911523</v>
      </c>
      <c r="AF18" s="24">
        <f t="shared" si="7"/>
        <v>0.6404477026083116</v>
      </c>
      <c r="AG18" s="24">
        <f t="shared" si="8"/>
        <v>0.04385357387999225</v>
      </c>
      <c r="AH18" s="24">
        <f t="shared" si="9"/>
        <v>0.28747963673831006</v>
      </c>
      <c r="AI18" s="24">
        <f t="shared" si="10"/>
        <v>0.01172798197525339</v>
      </c>
      <c r="AJ18" s="24">
        <f t="shared" si="11"/>
        <v>0.01649110479813251</v>
      </c>
      <c r="AK18" s="9">
        <f t="shared" si="12"/>
        <v>677.77196</v>
      </c>
      <c r="AL18" s="9">
        <f t="shared" si="13"/>
        <v>46.40929</v>
      </c>
      <c r="AM18" s="9">
        <f t="shared" si="14"/>
        <v>304.23349</v>
      </c>
      <c r="AN18" s="9">
        <f t="shared" si="15"/>
        <v>12.41147</v>
      </c>
      <c r="AO18" s="9">
        <f t="shared" si="16"/>
        <v>17.45218</v>
      </c>
      <c r="AP18" s="292">
        <f t="shared" si="17"/>
        <v>1058.2783900000002</v>
      </c>
      <c r="AQ18" s="24"/>
      <c r="AR18" s="24"/>
      <c r="AS18" s="24"/>
      <c r="AT18" s="24"/>
      <c r="AU18" s="24"/>
      <c r="AV18" s="24"/>
    </row>
    <row r="19" spans="1:48" s="9" customFormat="1" ht="21.75" customHeight="1">
      <c r="A19" s="270">
        <v>7</v>
      </c>
      <c r="B19" s="271" t="s">
        <v>29</v>
      </c>
      <c r="C19" s="146">
        <v>21.055714000000016</v>
      </c>
      <c r="D19" s="150"/>
      <c r="E19" s="150"/>
      <c r="F19" s="358">
        <v>932.50495</v>
      </c>
      <c r="G19" s="359"/>
      <c r="H19" s="146"/>
      <c r="I19" s="146">
        <f t="shared" si="0"/>
        <v>953.560664</v>
      </c>
      <c r="J19" s="272"/>
      <c r="K19" s="144">
        <v>515.12366</v>
      </c>
      <c r="L19" s="144">
        <v>22.10811</v>
      </c>
      <c r="M19" s="144">
        <v>261.32729</v>
      </c>
      <c r="N19" s="144">
        <v>12.39661</v>
      </c>
      <c r="O19" s="144">
        <v>29.91213</v>
      </c>
      <c r="P19" s="218">
        <f t="shared" si="1"/>
        <v>840.8678000000001</v>
      </c>
      <c r="Q19" s="218">
        <f t="shared" si="2"/>
        <v>112.69286399999987</v>
      </c>
      <c r="R19" s="193">
        <f>K19/'Part-I'!P19</f>
        <v>84.70714970491167</v>
      </c>
      <c r="S19" s="193">
        <v>325.64736</v>
      </c>
      <c r="T19" s="273">
        <f t="shared" si="3"/>
        <v>515.22044</v>
      </c>
      <c r="U19" s="9">
        <v>84.90853</v>
      </c>
      <c r="V19" s="24"/>
      <c r="W19" s="24">
        <f>P19-'[1]Part-II'!P19</f>
        <v>297.85224000000005</v>
      </c>
      <c r="X19" s="24">
        <f>M19-'[1]Part-II'!M19</f>
        <v>129.402565</v>
      </c>
      <c r="Y19" s="24">
        <f t="shared" si="4"/>
        <v>0.08958423730244813</v>
      </c>
      <c r="Z19" s="24">
        <v>840.8678100000001</v>
      </c>
      <c r="AA19" s="24">
        <v>840.8678100000001</v>
      </c>
      <c r="AB19" s="24">
        <v>840.8678100000001</v>
      </c>
      <c r="AC19" s="24">
        <f t="shared" si="5"/>
        <v>0</v>
      </c>
      <c r="AD19" s="24">
        <v>550.8539499999999</v>
      </c>
      <c r="AE19" s="24">
        <f t="shared" si="6"/>
        <v>290.01386000000014</v>
      </c>
      <c r="AF19" s="24">
        <f t="shared" si="7"/>
        <v>0.6126095683530751</v>
      </c>
      <c r="AG19" s="24">
        <f t="shared" si="8"/>
        <v>0.026292016414470855</v>
      </c>
      <c r="AH19" s="24">
        <f t="shared" si="9"/>
        <v>0.31078284838591747</v>
      </c>
      <c r="AI19" s="24">
        <f t="shared" si="10"/>
        <v>0.014742638497989813</v>
      </c>
      <c r="AJ19" s="24">
        <f t="shared" si="11"/>
        <v>0.035572928348546584</v>
      </c>
      <c r="AK19" s="9">
        <f t="shared" si="12"/>
        <v>515.12367</v>
      </c>
      <c r="AL19" s="9">
        <f t="shared" si="13"/>
        <v>22.10811</v>
      </c>
      <c r="AM19" s="9">
        <f t="shared" si="14"/>
        <v>261.32729</v>
      </c>
      <c r="AN19" s="9">
        <f t="shared" si="15"/>
        <v>12.39661</v>
      </c>
      <c r="AO19" s="9">
        <f t="shared" si="16"/>
        <v>29.91213</v>
      </c>
      <c r="AP19" s="292">
        <f t="shared" si="17"/>
        <v>840.8678100000001</v>
      </c>
      <c r="AQ19" s="24"/>
      <c r="AR19" s="24"/>
      <c r="AS19" s="24"/>
      <c r="AT19" s="24"/>
      <c r="AU19" s="24"/>
      <c r="AV19" s="24"/>
    </row>
    <row r="20" spans="1:48" s="9" customFormat="1" ht="21.75" customHeight="1">
      <c r="A20" s="270">
        <v>8</v>
      </c>
      <c r="B20" s="271" t="s">
        <v>30</v>
      </c>
      <c r="C20" s="146">
        <v>52.44022539999999</v>
      </c>
      <c r="D20" s="150"/>
      <c r="E20" s="150"/>
      <c r="F20" s="358">
        <v>846.37459</v>
      </c>
      <c r="G20" s="359"/>
      <c r="H20" s="146"/>
      <c r="I20" s="146">
        <f t="shared" si="0"/>
        <v>898.8148154</v>
      </c>
      <c r="J20" s="272"/>
      <c r="K20" s="144">
        <v>546.40538</v>
      </c>
      <c r="L20" s="144">
        <v>32.34121</v>
      </c>
      <c r="M20" s="144">
        <v>151.06036</v>
      </c>
      <c r="N20" s="144">
        <v>3.51713</v>
      </c>
      <c r="O20" s="144">
        <v>8.04178</v>
      </c>
      <c r="P20" s="218">
        <f t="shared" si="1"/>
        <v>741.3658600000001</v>
      </c>
      <c r="Q20" s="218">
        <f t="shared" si="2"/>
        <v>157.44895539999993</v>
      </c>
      <c r="R20" s="193">
        <f>K20/'Part-I'!P20</f>
        <v>98.1498962646285</v>
      </c>
      <c r="S20" s="193">
        <v>367.82944</v>
      </c>
      <c r="T20" s="273">
        <f t="shared" si="3"/>
        <v>373.53642000000013</v>
      </c>
      <c r="U20" s="9">
        <v>95.95</v>
      </c>
      <c r="V20" s="24"/>
      <c r="W20" s="24">
        <f>P20-'[1]Part-II'!P20</f>
        <v>340.57996</v>
      </c>
      <c r="X20" s="24">
        <f>M20-'[1]Part-II'!M20</f>
        <v>55.697959999999995</v>
      </c>
      <c r="Y20" s="24">
        <f t="shared" si="4"/>
        <v>0.07898351575619085</v>
      </c>
      <c r="Z20" s="24">
        <v>741.365852251367</v>
      </c>
      <c r="AA20" s="24">
        <v>567.0823700000001</v>
      </c>
      <c r="AB20" s="24">
        <v>741.365852251367</v>
      </c>
      <c r="AC20" s="24">
        <f t="shared" si="5"/>
        <v>174.28348225136688</v>
      </c>
      <c r="AD20" s="24">
        <v>567.0823700000001</v>
      </c>
      <c r="AE20" s="24">
        <f t="shared" si="6"/>
        <v>174.28348225136688</v>
      </c>
      <c r="AF20" s="24">
        <f t="shared" si="7"/>
        <v>0.7370252792595547</v>
      </c>
      <c r="AG20" s="24">
        <f t="shared" si="8"/>
        <v>0.04362381887938567</v>
      </c>
      <c r="AH20" s="24">
        <f t="shared" si="9"/>
        <v>0.20375953109035796</v>
      </c>
      <c r="AI20" s="24">
        <f t="shared" si="10"/>
        <v>0.004744121883357293</v>
      </c>
      <c r="AJ20" s="24">
        <f t="shared" si="11"/>
        <v>0.01084724888734423</v>
      </c>
      <c r="AK20" s="9">
        <f t="shared" si="12"/>
        <v>546.40537</v>
      </c>
      <c r="AL20" s="9">
        <f t="shared" si="13"/>
        <v>32.34121</v>
      </c>
      <c r="AM20" s="9">
        <f t="shared" si="14"/>
        <v>151.06036</v>
      </c>
      <c r="AN20" s="9">
        <f t="shared" si="15"/>
        <v>3.51713</v>
      </c>
      <c r="AO20" s="9">
        <f t="shared" si="16"/>
        <v>8.04178</v>
      </c>
      <c r="AP20" s="292">
        <f t="shared" si="17"/>
        <v>741.3658499999999</v>
      </c>
      <c r="AQ20" s="24"/>
      <c r="AR20" s="24"/>
      <c r="AS20" s="24"/>
      <c r="AT20" s="24"/>
      <c r="AU20" s="24"/>
      <c r="AV20" s="24"/>
    </row>
    <row r="21" spans="1:48" s="9" customFormat="1" ht="21.75" customHeight="1">
      <c r="A21" s="270">
        <v>9</v>
      </c>
      <c r="B21" s="271" t="s">
        <v>31</v>
      </c>
      <c r="C21" s="146">
        <v>19.63769990000008</v>
      </c>
      <c r="D21" s="150"/>
      <c r="E21" s="150"/>
      <c r="F21" s="358">
        <v>362.73618</v>
      </c>
      <c r="G21" s="359"/>
      <c r="H21" s="146"/>
      <c r="I21" s="146">
        <f t="shared" si="0"/>
        <v>382.3738799000001</v>
      </c>
      <c r="J21" s="272"/>
      <c r="K21" s="144">
        <v>267.74604</v>
      </c>
      <c r="L21" s="144">
        <v>11.34773</v>
      </c>
      <c r="M21" s="144">
        <v>42.35699</v>
      </c>
      <c r="N21" s="144">
        <v>2.36411</v>
      </c>
      <c r="O21" s="144">
        <v>4.8742</v>
      </c>
      <c r="P21" s="218">
        <f t="shared" si="1"/>
        <v>328.68906999999996</v>
      </c>
      <c r="Q21" s="218">
        <f t="shared" si="2"/>
        <v>53.68480990000012</v>
      </c>
      <c r="R21" s="193">
        <f>K21/'Part-I'!P21</f>
        <v>101.02251769570925</v>
      </c>
      <c r="S21" s="193">
        <v>147.30015999999998</v>
      </c>
      <c r="T21" s="273">
        <f t="shared" si="3"/>
        <v>181.38890999999998</v>
      </c>
      <c r="U21" s="9">
        <v>83.854181</v>
      </c>
      <c r="V21" s="24"/>
      <c r="W21" s="24">
        <f>P21-'[1]Part-II'!P21</f>
        <v>105.31329999999994</v>
      </c>
      <c r="X21" s="24">
        <f>M21-'[1]Part-II'!M21</f>
        <v>30.416070000000005</v>
      </c>
      <c r="Y21" s="24">
        <f t="shared" si="4"/>
        <v>0.03501782283208012</v>
      </c>
      <c r="Z21" s="24">
        <v>328.68906499999997</v>
      </c>
      <c r="AA21" s="24">
        <v>328.68906499999997</v>
      </c>
      <c r="AB21" s="24">
        <v>328.68906499999997</v>
      </c>
      <c r="AC21" s="24">
        <f t="shared" si="5"/>
        <v>0</v>
      </c>
      <c r="AD21" s="24">
        <v>234.02518999999998</v>
      </c>
      <c r="AE21" s="24">
        <f t="shared" si="6"/>
        <v>94.66387499999999</v>
      </c>
      <c r="AF21" s="24">
        <f t="shared" si="7"/>
        <v>0.8145875979386842</v>
      </c>
      <c r="AG21" s="24">
        <f t="shared" si="8"/>
        <v>0.03452420854761006</v>
      </c>
      <c r="AH21" s="24">
        <f t="shared" si="9"/>
        <v>0.12886643903309594</v>
      </c>
      <c r="AI21" s="24">
        <f>N21/$P21</f>
        <v>0.007192542179756694</v>
      </c>
      <c r="AJ21" s="24">
        <f t="shared" si="11"/>
        <v>0.014829212300853207</v>
      </c>
      <c r="AK21" s="9">
        <f t="shared" si="12"/>
        <v>267.74604</v>
      </c>
      <c r="AL21" s="9">
        <f t="shared" si="13"/>
        <v>11.34773</v>
      </c>
      <c r="AM21" s="9">
        <f t="shared" si="14"/>
        <v>42.35699</v>
      </c>
      <c r="AN21" s="9">
        <f t="shared" si="15"/>
        <v>2.36411</v>
      </c>
      <c r="AO21" s="9">
        <f t="shared" si="16"/>
        <v>4.8742</v>
      </c>
      <c r="AP21" s="292">
        <f t="shared" si="17"/>
        <v>328.68906999999996</v>
      </c>
      <c r="AQ21" s="24"/>
      <c r="AR21" s="24"/>
      <c r="AS21" s="24"/>
      <c r="AT21" s="24"/>
      <c r="AU21" s="24"/>
      <c r="AV21" s="24"/>
    </row>
    <row r="22" spans="1:48" s="9" customFormat="1" ht="21.75" customHeight="1">
      <c r="A22" s="270">
        <v>10</v>
      </c>
      <c r="B22" s="271" t="s">
        <v>32</v>
      </c>
      <c r="C22" s="146">
        <v>90.76816619999994</v>
      </c>
      <c r="D22" s="150"/>
      <c r="E22" s="150"/>
      <c r="F22" s="358">
        <v>992.47148</v>
      </c>
      <c r="G22" s="359"/>
      <c r="H22" s="146"/>
      <c r="I22" s="146">
        <f t="shared" si="0"/>
        <v>1083.2396462</v>
      </c>
      <c r="J22" s="272"/>
      <c r="K22" s="144">
        <v>720.91489</v>
      </c>
      <c r="L22" s="144">
        <v>24.69483</v>
      </c>
      <c r="M22" s="144">
        <v>116.91462</v>
      </c>
      <c r="N22" s="144">
        <v>3.42508</v>
      </c>
      <c r="O22" s="144">
        <v>8.60092</v>
      </c>
      <c r="P22" s="218">
        <f t="shared" si="1"/>
        <v>874.55034</v>
      </c>
      <c r="Q22" s="218">
        <f t="shared" si="2"/>
        <v>208.68930619999992</v>
      </c>
      <c r="R22" s="193">
        <f>K22/'Part-I'!P22</f>
        <v>99.25787238143755</v>
      </c>
      <c r="S22" s="193">
        <v>266.27575</v>
      </c>
      <c r="T22" s="273">
        <f t="shared" si="3"/>
        <v>608.27459</v>
      </c>
      <c r="U22" s="9">
        <v>80.17361999999999</v>
      </c>
      <c r="V22" s="24"/>
      <c r="W22" s="24">
        <f>P22-'[1]Part-II'!P22</f>
        <v>319.81611</v>
      </c>
      <c r="X22" s="24">
        <f>M22-'[1]Part-II'!M22</f>
        <v>-30.184489999999997</v>
      </c>
      <c r="Y22" s="24">
        <f t="shared" si="4"/>
        <v>0.09317270228625318</v>
      </c>
      <c r="Z22" s="24">
        <f>Y22*$P$31</f>
        <v>868.1118099828265</v>
      </c>
      <c r="AA22" s="24">
        <v>850.1292299999999</v>
      </c>
      <c r="AB22" s="24">
        <v>874.550328466236</v>
      </c>
      <c r="AC22" s="24">
        <f t="shared" si="5"/>
        <v>24.421098466236117</v>
      </c>
      <c r="AD22" s="24">
        <v>620.1450199999999</v>
      </c>
      <c r="AE22" s="24">
        <f t="shared" si="6"/>
        <v>254.40530846623608</v>
      </c>
      <c r="AF22" s="24">
        <f t="shared" si="7"/>
        <v>0.824326350384816</v>
      </c>
      <c r="AG22" s="24">
        <f t="shared" si="8"/>
        <v>0.028237173860111927</v>
      </c>
      <c r="AH22" s="24">
        <f t="shared" si="9"/>
        <v>0.13368540912121765</v>
      </c>
      <c r="AI22" s="24">
        <f t="shared" si="10"/>
        <v>0.003916389764367366</v>
      </c>
      <c r="AJ22" s="24">
        <f t="shared" si="11"/>
        <v>0.00983467686948701</v>
      </c>
      <c r="AK22" s="9">
        <f t="shared" si="12"/>
        <v>720.91488</v>
      </c>
      <c r="AL22" s="9">
        <f t="shared" si="13"/>
        <v>24.69483</v>
      </c>
      <c r="AM22" s="9">
        <f t="shared" si="14"/>
        <v>116.91462</v>
      </c>
      <c r="AN22" s="9">
        <f t="shared" si="15"/>
        <v>3.42508</v>
      </c>
      <c r="AO22" s="9">
        <f t="shared" si="16"/>
        <v>8.60092</v>
      </c>
      <c r="AP22" s="292">
        <f t="shared" si="17"/>
        <v>874.55033</v>
      </c>
      <c r="AQ22" s="24"/>
      <c r="AR22" s="24"/>
      <c r="AS22" s="24"/>
      <c r="AT22" s="24"/>
      <c r="AU22" s="24"/>
      <c r="AV22" s="24"/>
    </row>
    <row r="23" spans="1:48" s="9" customFormat="1" ht="21.75" customHeight="1">
      <c r="A23" s="270">
        <v>11</v>
      </c>
      <c r="B23" s="271" t="s">
        <v>33</v>
      </c>
      <c r="C23" s="146">
        <v>10.260448999999966</v>
      </c>
      <c r="D23" s="150"/>
      <c r="E23" s="150"/>
      <c r="F23" s="358">
        <v>313.25087</v>
      </c>
      <c r="G23" s="359"/>
      <c r="H23" s="146"/>
      <c r="I23" s="146">
        <f t="shared" si="0"/>
        <v>323.51131899999996</v>
      </c>
      <c r="J23" s="272"/>
      <c r="K23" s="144">
        <v>160.72535</v>
      </c>
      <c r="L23" s="144">
        <v>12.11035</v>
      </c>
      <c r="M23" s="144">
        <v>78.08331</v>
      </c>
      <c r="N23" s="144">
        <v>18.08075</v>
      </c>
      <c r="O23" s="144">
        <v>2.47777</v>
      </c>
      <c r="P23" s="218">
        <f t="shared" si="1"/>
        <v>271.47753000000006</v>
      </c>
      <c r="Q23" s="218">
        <f t="shared" si="2"/>
        <v>52.0337889999999</v>
      </c>
      <c r="R23" s="193">
        <f>K23/'Part-I'!P23</f>
        <v>86.62384663476047</v>
      </c>
      <c r="S23" s="193">
        <v>73.37846</v>
      </c>
      <c r="T23" s="273">
        <f t="shared" si="3"/>
        <v>198.09907000000004</v>
      </c>
      <c r="U23" s="9">
        <v>29.66637</v>
      </c>
      <c r="V23" s="24"/>
      <c r="W23" s="24">
        <f>P23-'[1]Part-II'!P23</f>
        <v>11.621670000000051</v>
      </c>
      <c r="X23" s="24">
        <f>M23-'[1]Part-II'!M23</f>
        <v>42.366429999999994</v>
      </c>
      <c r="Y23" s="24">
        <f t="shared" si="4"/>
        <v>0.028922629062264584</v>
      </c>
      <c r="Z23" s="24">
        <v>271.47752</v>
      </c>
      <c r="AA23" s="24">
        <v>271.47752</v>
      </c>
      <c r="AB23" s="24">
        <v>271.47752</v>
      </c>
      <c r="AC23" s="24">
        <f t="shared" si="5"/>
        <v>0</v>
      </c>
      <c r="AD23" s="24">
        <v>170.47153</v>
      </c>
      <c r="AE23" s="24">
        <f t="shared" si="6"/>
        <v>101.00599000000003</v>
      </c>
      <c r="AF23" s="24">
        <f t="shared" si="7"/>
        <v>0.5920392380172309</v>
      </c>
      <c r="AG23" s="24">
        <f t="shared" si="8"/>
        <v>0.04460903265179994</v>
      </c>
      <c r="AH23" s="24">
        <f t="shared" si="9"/>
        <v>0.28762347292610174</v>
      </c>
      <c r="AI23" s="24">
        <f t="shared" si="10"/>
        <v>0.06660127635609472</v>
      </c>
      <c r="AJ23" s="24">
        <f t="shared" si="11"/>
        <v>0.00912698004877236</v>
      </c>
      <c r="AK23" s="9">
        <f t="shared" si="12"/>
        <v>160.72534</v>
      </c>
      <c r="AL23" s="9">
        <f t="shared" si="13"/>
        <v>12.11035</v>
      </c>
      <c r="AM23" s="9">
        <f t="shared" si="14"/>
        <v>78.08331</v>
      </c>
      <c r="AN23" s="9">
        <f t="shared" si="15"/>
        <v>18.08075</v>
      </c>
      <c r="AO23" s="9">
        <f t="shared" si="16"/>
        <v>2.47777</v>
      </c>
      <c r="AP23" s="292">
        <f t="shared" si="17"/>
        <v>271.47752</v>
      </c>
      <c r="AQ23" s="24"/>
      <c r="AR23" s="24"/>
      <c r="AS23" s="24"/>
      <c r="AT23" s="24"/>
      <c r="AU23" s="24"/>
      <c r="AV23" s="24"/>
    </row>
    <row r="24" spans="1:48" s="9" customFormat="1" ht="21.75" customHeight="1">
      <c r="A24" s="270">
        <v>12</v>
      </c>
      <c r="B24" s="271" t="s">
        <v>34</v>
      </c>
      <c r="C24" s="146">
        <v>15.641735899999997</v>
      </c>
      <c r="D24" s="150"/>
      <c r="E24" s="150"/>
      <c r="F24" s="358">
        <v>508.13457</v>
      </c>
      <c r="G24" s="359"/>
      <c r="H24" s="146"/>
      <c r="I24" s="146">
        <f t="shared" si="0"/>
        <v>523.7763059</v>
      </c>
      <c r="J24" s="272"/>
      <c r="K24" s="144">
        <v>281.72591</v>
      </c>
      <c r="L24" s="144">
        <v>11.90493</v>
      </c>
      <c r="M24" s="144">
        <v>45.95135</v>
      </c>
      <c r="N24" s="144">
        <v>3.07534</v>
      </c>
      <c r="O24" s="144">
        <v>16.60537</v>
      </c>
      <c r="P24" s="218">
        <f t="shared" si="1"/>
        <v>359.26289999999995</v>
      </c>
      <c r="Q24" s="218">
        <f t="shared" si="2"/>
        <v>164.51340590000007</v>
      </c>
      <c r="R24" s="193">
        <f>K24/'Part-I'!P24</f>
        <v>100.44886207646533</v>
      </c>
      <c r="S24" s="193">
        <v>158.22349</v>
      </c>
      <c r="T24" s="273">
        <f t="shared" si="3"/>
        <v>201.03940999999995</v>
      </c>
      <c r="U24" s="9">
        <v>52.48554</v>
      </c>
      <c r="V24" s="24"/>
      <c r="W24" s="24">
        <f>P24-'[1]Part-II'!P24</f>
        <v>135.08765999999994</v>
      </c>
      <c r="X24" s="24">
        <f>M24-'[1]Part-II'!M24</f>
        <v>4.961214999999996</v>
      </c>
      <c r="Y24" s="24">
        <f t="shared" si="4"/>
        <v>0.03827509257408321</v>
      </c>
      <c r="Z24" s="24">
        <v>359.262905</v>
      </c>
      <c r="AA24" s="24">
        <v>359.262905</v>
      </c>
      <c r="AB24" s="24">
        <v>359.262905</v>
      </c>
      <c r="AC24" s="24">
        <f t="shared" si="5"/>
        <v>0</v>
      </c>
      <c r="AD24" s="24">
        <v>250.209785</v>
      </c>
      <c r="AE24" s="24">
        <f t="shared" si="6"/>
        <v>109.05311999999998</v>
      </c>
      <c r="AF24" s="24">
        <f t="shared" si="7"/>
        <v>0.7841775758086906</v>
      </c>
      <c r="AG24" s="24">
        <f t="shared" si="8"/>
        <v>0.03313709820858208</v>
      </c>
      <c r="AH24" s="24">
        <f t="shared" si="9"/>
        <v>0.12790452340055153</v>
      </c>
      <c r="AI24" s="24">
        <f t="shared" si="10"/>
        <v>0.008560137993653117</v>
      </c>
      <c r="AJ24" s="24">
        <f t="shared" si="11"/>
        <v>0.04622066458852279</v>
      </c>
      <c r="AK24" s="9">
        <f t="shared" si="12"/>
        <v>281.72591</v>
      </c>
      <c r="AL24" s="9">
        <f t="shared" si="13"/>
        <v>11.90493</v>
      </c>
      <c r="AM24" s="9">
        <f t="shared" si="14"/>
        <v>45.95135</v>
      </c>
      <c r="AN24" s="9">
        <f t="shared" si="15"/>
        <v>3.07534</v>
      </c>
      <c r="AO24" s="9">
        <f t="shared" si="16"/>
        <v>16.60537</v>
      </c>
      <c r="AP24" s="292">
        <f t="shared" si="17"/>
        <v>359.26289999999995</v>
      </c>
      <c r="AQ24" s="24"/>
      <c r="AR24" s="24"/>
      <c r="AS24" s="24"/>
      <c r="AT24" s="24"/>
      <c r="AU24" s="24"/>
      <c r="AV24" s="24"/>
    </row>
    <row r="25" spans="1:48" s="9" customFormat="1" ht="21.75" customHeight="1">
      <c r="A25" s="270">
        <v>13</v>
      </c>
      <c r="B25" s="271" t="s">
        <v>35</v>
      </c>
      <c r="C25" s="146">
        <v>36.488015200000085</v>
      </c>
      <c r="D25" s="150"/>
      <c r="E25" s="150"/>
      <c r="F25" s="358">
        <v>651.70174</v>
      </c>
      <c r="G25" s="359"/>
      <c r="H25" s="146"/>
      <c r="I25" s="146">
        <f t="shared" si="0"/>
        <v>688.1897552</v>
      </c>
      <c r="J25" s="272"/>
      <c r="K25" s="144">
        <v>300.32003</v>
      </c>
      <c r="L25" s="144">
        <v>19.4183</v>
      </c>
      <c r="M25" s="144">
        <v>97.86863</v>
      </c>
      <c r="N25" s="144">
        <v>6.5351</v>
      </c>
      <c r="O25" s="144">
        <v>58.25425</v>
      </c>
      <c r="P25" s="218">
        <f t="shared" si="1"/>
        <v>482.39630999999997</v>
      </c>
      <c r="Q25" s="218">
        <f t="shared" si="2"/>
        <v>205.79344520000006</v>
      </c>
      <c r="R25" s="193">
        <f>K25/'Part-I'!P25</f>
        <v>97.41098987356551</v>
      </c>
      <c r="S25" s="193">
        <v>198.21515</v>
      </c>
      <c r="T25" s="273">
        <f t="shared" si="3"/>
        <v>284.18116</v>
      </c>
      <c r="U25" s="9">
        <v>61.02503</v>
      </c>
      <c r="V25" s="24"/>
      <c r="W25" s="24">
        <f>P25-'[1]Part-II'!P25</f>
        <v>59.213415</v>
      </c>
      <c r="X25" s="24">
        <f>M25-'[1]Part-II'!M25</f>
        <v>53.34885</v>
      </c>
      <c r="Y25" s="24">
        <f t="shared" si="4"/>
        <v>0.051393459838592136</v>
      </c>
      <c r="Z25" s="24">
        <v>482.3963</v>
      </c>
      <c r="AA25" s="24">
        <v>482.3963</v>
      </c>
      <c r="AB25" s="24">
        <v>482.3963</v>
      </c>
      <c r="AC25" s="24">
        <f t="shared" si="5"/>
        <v>0</v>
      </c>
      <c r="AD25" s="24">
        <v>303.74267000000003</v>
      </c>
      <c r="AE25" s="24">
        <f t="shared" si="6"/>
        <v>178.65362999999996</v>
      </c>
      <c r="AF25" s="24">
        <f>K25/P25</f>
        <v>0.6225587214794408</v>
      </c>
      <c r="AG25" s="24">
        <f t="shared" si="8"/>
        <v>0.0402538319582088</v>
      </c>
      <c r="AH25" s="24">
        <f t="shared" si="9"/>
        <v>0.20288013811714273</v>
      </c>
      <c r="AI25" s="24">
        <f t="shared" si="10"/>
        <v>0.01354716001040721</v>
      </c>
      <c r="AJ25" s="24">
        <f t="shared" si="11"/>
        <v>0.12076014843480043</v>
      </c>
      <c r="AK25" s="9">
        <f t="shared" si="12"/>
        <v>300.32002</v>
      </c>
      <c r="AL25" s="9">
        <f t="shared" si="13"/>
        <v>19.4183</v>
      </c>
      <c r="AM25" s="9">
        <f t="shared" si="14"/>
        <v>97.86863</v>
      </c>
      <c r="AN25" s="9">
        <f t="shared" si="15"/>
        <v>6.5351</v>
      </c>
      <c r="AO25" s="9">
        <f t="shared" si="16"/>
        <v>58.25425</v>
      </c>
      <c r="AP25" s="292">
        <f t="shared" si="17"/>
        <v>482.3963</v>
      </c>
      <c r="AQ25" s="24"/>
      <c r="AR25" s="24"/>
      <c r="AS25" s="24"/>
      <c r="AT25" s="24"/>
      <c r="AU25" s="24"/>
      <c r="AV25" s="24"/>
    </row>
    <row r="26" spans="1:42" s="8" customFormat="1" ht="19.5" customHeight="1">
      <c r="A26" s="15"/>
      <c r="B26" s="158" t="s">
        <v>5</v>
      </c>
      <c r="C26" s="16">
        <f aca="true" t="shared" si="18" ref="C26:H26">SUM(C13:C25)</f>
        <v>506.0905897000002</v>
      </c>
      <c r="D26" s="16">
        <f t="shared" si="18"/>
        <v>0</v>
      </c>
      <c r="E26" s="16">
        <f t="shared" si="18"/>
        <v>0</v>
      </c>
      <c r="F26" s="356">
        <f>SUM(F13:F25)</f>
        <v>10635.50475</v>
      </c>
      <c r="G26" s="357"/>
      <c r="H26" s="16">
        <f t="shared" si="18"/>
        <v>0</v>
      </c>
      <c r="I26" s="16">
        <f aca="true" t="shared" si="19" ref="I26:P26">SUM(I13:I25)</f>
        <v>11141.595339700001</v>
      </c>
      <c r="J26" s="16">
        <f t="shared" si="19"/>
        <v>0</v>
      </c>
      <c r="K26" s="17">
        <f t="shared" si="19"/>
        <v>6494.24473</v>
      </c>
      <c r="L26" s="17">
        <f t="shared" si="19"/>
        <v>356.27317999999997</v>
      </c>
      <c r="M26" s="17">
        <f t="shared" si="19"/>
        <v>2137.59776</v>
      </c>
      <c r="N26" s="17">
        <f t="shared" si="19"/>
        <v>187.71067000000005</v>
      </c>
      <c r="O26" s="17">
        <f t="shared" si="19"/>
        <v>210.5102</v>
      </c>
      <c r="P26" s="17">
        <f t="shared" si="19"/>
        <v>9386.336540000002</v>
      </c>
      <c r="Q26" s="215">
        <f>SUM(Q13:Q25)</f>
        <v>1755.2587996999991</v>
      </c>
      <c r="R26" s="215">
        <f>SUM(R13:R25)</f>
        <v>1256.531785849052</v>
      </c>
      <c r="S26" s="215">
        <f>SUM(S13:S25)</f>
        <v>4111.635285999999</v>
      </c>
      <c r="T26" s="215">
        <f>SUM(T13:T25)</f>
        <v>5274.701254000002</v>
      </c>
      <c r="U26" s="215">
        <f>SUM(U13:U25)</f>
        <v>969.5746310000002</v>
      </c>
      <c r="W26" s="24">
        <f>P26-'[1]Part-II'!P26</f>
        <v>3352.1394350000037</v>
      </c>
      <c r="X26" s="24">
        <f>M26-'[1]Part-II'!M26</f>
        <v>874.1784600000001</v>
      </c>
      <c r="Y26" s="24"/>
      <c r="Z26" s="308">
        <f>SUM(Z13:Z25)</f>
        <v>9363.213671883783</v>
      </c>
      <c r="AA26" s="308">
        <f>SUM(AA13:AA25)</f>
        <v>8976.738605999999</v>
      </c>
      <c r="AB26" s="293">
        <f>SUM(AB13:AB25)</f>
        <v>9386.336493636556</v>
      </c>
      <c r="AC26" s="24">
        <f>SUM(AC13:AC25)</f>
        <v>409.5978876365555</v>
      </c>
      <c r="AD26" s="293">
        <f>+AC26+P26</f>
        <v>9795.934427636557</v>
      </c>
      <c r="AE26" s="24"/>
      <c r="AF26" s="24"/>
      <c r="AG26" s="24"/>
      <c r="AH26" s="24"/>
      <c r="AI26" s="24"/>
      <c r="AP26" s="294">
        <f>SUM(AP13:AP25)</f>
        <v>9386.33649</v>
      </c>
    </row>
    <row r="27" spans="1:26" s="195" customFormat="1" ht="18.75">
      <c r="A27" s="196">
        <v>1</v>
      </c>
      <c r="B27" s="197" t="s">
        <v>50</v>
      </c>
      <c r="C27" s="156">
        <v>222.78</v>
      </c>
      <c r="D27" s="155"/>
      <c r="E27" s="156"/>
      <c r="F27" s="246">
        <v>102.56184</v>
      </c>
      <c r="G27" s="247"/>
      <c r="H27" s="156"/>
      <c r="I27" s="150">
        <f>SUM(C27:H27)</f>
        <v>325.34184</v>
      </c>
      <c r="J27" s="198"/>
      <c r="K27" s="316">
        <v>227.65692</v>
      </c>
      <c r="L27" s="316"/>
      <c r="M27" s="316"/>
      <c r="N27" s="316"/>
      <c r="O27" s="316"/>
      <c r="P27" s="151">
        <f t="shared" si="1"/>
        <v>227.65692</v>
      </c>
      <c r="Q27" s="218">
        <f t="shared" si="2"/>
        <v>97.68491999999998</v>
      </c>
      <c r="R27" s="194"/>
      <c r="S27" s="194">
        <v>83.25</v>
      </c>
      <c r="T27" s="194"/>
      <c r="U27" s="194"/>
      <c r="Z27" s="312">
        <f>Z26-P31</f>
        <v>45.98031188378263</v>
      </c>
    </row>
    <row r="28" spans="1:32" s="9" customFormat="1" ht="18.75">
      <c r="A28" s="18">
        <v>2</v>
      </c>
      <c r="B28" s="159" t="s">
        <v>106</v>
      </c>
      <c r="C28" s="142">
        <v>983.81</v>
      </c>
      <c r="D28" s="155"/>
      <c r="E28" s="156">
        <f>555.56</f>
        <v>555.56</v>
      </c>
      <c r="F28" s="156">
        <f>2000+1000+100+900+300+2700+1000+1000</f>
        <v>9000</v>
      </c>
      <c r="G28" s="142">
        <f>333.33+144.44+555.56</f>
        <v>1033.33</v>
      </c>
      <c r="H28" s="142">
        <v>0</v>
      </c>
      <c r="I28" s="146">
        <f>SUM(C28:H28)</f>
        <v>11572.699999999999</v>
      </c>
      <c r="J28" s="143"/>
      <c r="K28" s="316"/>
      <c r="L28" s="316"/>
      <c r="M28" s="316"/>
      <c r="N28" s="316">
        <v>30.15095</v>
      </c>
      <c r="O28" s="316">
        <v>22.857009999999995</v>
      </c>
      <c r="P28" s="145">
        <f t="shared" si="1"/>
        <v>53.00796</v>
      </c>
      <c r="Q28" s="216"/>
      <c r="R28" s="184"/>
      <c r="S28" s="184">
        <v>29.33462</v>
      </c>
      <c r="T28" s="184"/>
      <c r="U28" s="184"/>
      <c r="Z28" s="313">
        <f>Z16-Z27</f>
        <v>558.1261084405606</v>
      </c>
      <c r="AB28" s="9">
        <v>41.962</v>
      </c>
      <c r="AC28" s="24">
        <f>N28/P28</f>
        <v>0.5688004216725187</v>
      </c>
      <c r="AD28" s="9">
        <f>AC28*AB28</f>
        <v>23.86800329422223</v>
      </c>
      <c r="AE28" s="9">
        <v>23.868</v>
      </c>
      <c r="AF28" s="9">
        <f>AB28-AE28</f>
        <v>18.094000000000005</v>
      </c>
    </row>
    <row r="29" spans="1:29" s="19" customFormat="1" ht="19.5" customHeight="1">
      <c r="A29" s="159"/>
      <c r="B29" s="160" t="s">
        <v>5</v>
      </c>
      <c r="C29" s="147">
        <f>SUM(C27:C28)</f>
        <v>1206.59</v>
      </c>
      <c r="D29" s="147">
        <f aca="true" t="shared" si="20" ref="D29:O29">SUM(D27:D28)</f>
        <v>0</v>
      </c>
      <c r="E29" s="147">
        <f>SUM(E27:E28)</f>
        <v>555.56</v>
      </c>
      <c r="F29" s="147">
        <f>F28</f>
        <v>9000</v>
      </c>
      <c r="G29" s="147">
        <f>SUM(G27:G28)</f>
        <v>1033.33</v>
      </c>
      <c r="H29" s="147">
        <f t="shared" si="20"/>
        <v>0</v>
      </c>
      <c r="I29" s="147">
        <f>SUM(I27:I28)</f>
        <v>11898.041839999998</v>
      </c>
      <c r="J29" s="148"/>
      <c r="K29" s="149">
        <f t="shared" si="20"/>
        <v>227.65692</v>
      </c>
      <c r="L29" s="149">
        <f t="shared" si="20"/>
        <v>0</v>
      </c>
      <c r="M29" s="149">
        <f t="shared" si="20"/>
        <v>0</v>
      </c>
      <c r="N29" s="149">
        <f t="shared" si="20"/>
        <v>30.15095</v>
      </c>
      <c r="O29" s="149">
        <f t="shared" si="20"/>
        <v>22.857009999999995</v>
      </c>
      <c r="P29" s="149">
        <f>SUM(K29:O29)</f>
        <v>280.66488000000004</v>
      </c>
      <c r="Q29" s="217"/>
      <c r="R29" s="188"/>
      <c r="S29" s="149">
        <f>SUM(N29:R29)</f>
        <v>333.67284000000006</v>
      </c>
      <c r="T29" s="188"/>
      <c r="U29" s="188"/>
      <c r="AA29" s="19" t="s">
        <v>119</v>
      </c>
      <c r="AC29" s="19" t="s">
        <v>119</v>
      </c>
    </row>
    <row r="30" spans="1:27" s="9" customFormat="1" ht="15.75">
      <c r="A30" s="161"/>
      <c r="B30" s="162" t="s">
        <v>51</v>
      </c>
      <c r="C30" s="20">
        <f aca="true" t="shared" si="21" ref="C30:O30">C26+C29</f>
        <v>1712.6805897000002</v>
      </c>
      <c r="D30" s="20">
        <f t="shared" si="21"/>
        <v>0</v>
      </c>
      <c r="E30" s="20">
        <f>E29</f>
        <v>555.56</v>
      </c>
      <c r="F30" s="20">
        <f>F29</f>
        <v>9000</v>
      </c>
      <c r="G30" s="20">
        <f>G26+G29</f>
        <v>1033.33</v>
      </c>
      <c r="H30" s="20">
        <f t="shared" si="21"/>
        <v>0</v>
      </c>
      <c r="I30" s="20">
        <f>SUM(C30:H30)</f>
        <v>12301.570589699999</v>
      </c>
      <c r="J30" s="20">
        <f>J26</f>
        <v>0</v>
      </c>
      <c r="K30" s="21">
        <f t="shared" si="21"/>
        <v>6721.901650000001</v>
      </c>
      <c r="L30" s="21">
        <f t="shared" si="21"/>
        <v>356.27317999999997</v>
      </c>
      <c r="M30" s="21">
        <f t="shared" si="21"/>
        <v>2137.59776</v>
      </c>
      <c r="N30" s="21">
        <f t="shared" si="21"/>
        <v>217.86162000000004</v>
      </c>
      <c r="O30" s="21">
        <f t="shared" si="21"/>
        <v>233.36721</v>
      </c>
      <c r="P30" s="21">
        <f>P26+P29</f>
        <v>9667.001420000002</v>
      </c>
      <c r="Q30" s="193">
        <f>I30-P30</f>
        <v>2634.5691696999966</v>
      </c>
      <c r="R30" s="189">
        <v>5238.43376</v>
      </c>
      <c r="S30" s="21">
        <f>S26+S29</f>
        <v>4445.308125999999</v>
      </c>
      <c r="T30" s="189"/>
      <c r="U30" s="184">
        <f>P30-R30</f>
        <v>4428.567660000002</v>
      </c>
      <c r="V30" s="183"/>
      <c r="Y30" s="9">
        <f>P30/146</f>
        <v>66.2123384931507</v>
      </c>
      <c r="Z30" s="24">
        <f>Z26+P27+P28</f>
        <v>9643.878551883783</v>
      </c>
      <c r="AA30" s="24"/>
    </row>
    <row r="31" spans="1:26" s="9" customFormat="1" ht="22.5" customHeight="1">
      <c r="A31" s="178"/>
      <c r="B31" s="179"/>
      <c r="C31" s="179"/>
      <c r="D31" s="179"/>
      <c r="E31" s="179"/>
      <c r="F31" s="179"/>
      <c r="G31" s="179"/>
      <c r="H31" s="179"/>
      <c r="I31" s="230"/>
      <c r="J31" s="230">
        <f>K27+K31</f>
        <v>-680.5527200000028</v>
      </c>
      <c r="K31" s="174">
        <f>P33-P30</f>
        <v>-908.2096400000028</v>
      </c>
      <c r="M31" s="24"/>
      <c r="N31" s="144">
        <f>O31-P30</f>
        <v>1845.9985799999977</v>
      </c>
      <c r="O31" s="144">
        <f>11513</f>
        <v>11513</v>
      </c>
      <c r="P31" s="23">
        <v>9317.23336</v>
      </c>
      <c r="Q31" s="23"/>
      <c r="R31" s="193">
        <f>R24-S24</f>
        <v>-57.774627923534666</v>
      </c>
      <c r="S31" s="193">
        <f>R31+R17</f>
        <v>43.015072191318225</v>
      </c>
      <c r="T31" s="219"/>
      <c r="Y31" s="24">
        <v>7486.3369</v>
      </c>
      <c r="Z31" s="24">
        <f>P31-Z26</f>
        <v>-45.98031188378263</v>
      </c>
    </row>
    <row r="32" spans="1:28" s="9" customFormat="1" ht="36.75" customHeight="1">
      <c r="A32" s="285"/>
      <c r="B32" s="285"/>
      <c r="C32" s="285"/>
      <c r="D32" s="285"/>
      <c r="E32" s="285"/>
      <c r="F32" s="285"/>
      <c r="G32" s="285"/>
      <c r="H32" s="285"/>
      <c r="I32" s="285" t="s">
        <v>119</v>
      </c>
      <c r="J32" s="285"/>
      <c r="K32" s="315">
        <v>4864941</v>
      </c>
      <c r="M32" s="24"/>
      <c r="N32" s="157"/>
      <c r="O32" s="284">
        <f>P26/P30</f>
        <v>0.970966707481874</v>
      </c>
      <c r="P32" s="23">
        <f>P31*O32</f>
        <v>9046.723398399477</v>
      </c>
      <c r="Q32" s="264"/>
      <c r="Y32" s="24">
        <f>Y31+P29</f>
        <v>7767.0017800000005</v>
      </c>
      <c r="Z32" s="9">
        <v>9257.403486</v>
      </c>
      <c r="AB32" s="24">
        <f>P30+800</f>
        <v>10467.001420000002</v>
      </c>
    </row>
    <row r="33" spans="2:31" s="9" customFormat="1" ht="18" customHeight="1">
      <c r="B33" s="19"/>
      <c r="C33" s="184"/>
      <c r="D33" s="242"/>
      <c r="K33" s="167">
        <f>K32/100000</f>
        <v>48.64941</v>
      </c>
      <c r="M33" s="24"/>
      <c r="N33" s="101" t="s">
        <v>134</v>
      </c>
      <c r="P33" s="23">
        <v>8758.79178</v>
      </c>
      <c r="Q33" s="23"/>
      <c r="Z33" s="24">
        <v>8976.738605999999</v>
      </c>
      <c r="AB33" s="9">
        <v>9257.403486</v>
      </c>
      <c r="AE33" s="9" t="s">
        <v>119</v>
      </c>
    </row>
    <row r="34" spans="2:28" s="9" customFormat="1" ht="20.25" customHeight="1">
      <c r="B34" s="152"/>
      <c r="C34" s="152"/>
      <c r="D34" s="152"/>
      <c r="E34" s="152"/>
      <c r="F34" s="152"/>
      <c r="G34" s="152"/>
      <c r="H34" s="152"/>
      <c r="I34" s="152"/>
      <c r="J34" s="152"/>
      <c r="K34" s="314">
        <f>N29+O29</f>
        <v>53.00796</v>
      </c>
      <c r="L34" s="152" t="s">
        <v>119</v>
      </c>
      <c r="M34" s="152"/>
      <c r="N34" s="103" t="s">
        <v>135</v>
      </c>
      <c r="O34" s="152"/>
      <c r="P34" s="152"/>
      <c r="Q34" s="152"/>
      <c r="Z34" s="24">
        <f>Z33-P26</f>
        <v>-409.5979340000031</v>
      </c>
      <c r="AA34" s="9" t="s">
        <v>119</v>
      </c>
      <c r="AB34" s="24"/>
    </row>
    <row r="35" spans="4:27" s="9" customFormat="1" ht="15.75">
      <c r="D35" s="22"/>
      <c r="J35" s="184">
        <f>N29/K34</f>
        <v>0.5688004216725187</v>
      </c>
      <c r="K35" s="184">
        <f>O29/K34</f>
        <v>0.4311995783274813</v>
      </c>
      <c r="N35" s="103" t="s">
        <v>115</v>
      </c>
      <c r="Z35" s="24">
        <f>P26+800</f>
        <v>10186.336540000002</v>
      </c>
      <c r="AA35" s="24">
        <f>Z35+P29</f>
        <v>10467.001420000002</v>
      </c>
    </row>
    <row r="36" spans="2:26" s="9" customFormat="1" ht="18.75">
      <c r="B36" s="19"/>
      <c r="D36" s="22"/>
      <c r="J36" s="9">
        <v>27.6718</v>
      </c>
      <c r="K36" s="24">
        <f>K33-J36</f>
        <v>20.977610000000002</v>
      </c>
      <c r="M36" s="153"/>
      <c r="N36" s="105" t="s">
        <v>136</v>
      </c>
      <c r="O36" s="154"/>
      <c r="P36" s="154"/>
      <c r="Q36" s="154"/>
      <c r="Z36" s="24">
        <v>8758.79178</v>
      </c>
    </row>
    <row r="37" spans="2:26" s="9" customFormat="1" ht="18.75">
      <c r="B37" s="19"/>
      <c r="D37" s="22"/>
      <c r="F37" s="185"/>
      <c r="G37" s="185"/>
      <c r="H37" s="186"/>
      <c r="M37" s="153"/>
      <c r="N37" s="103" t="s">
        <v>117</v>
      </c>
      <c r="O37" s="154"/>
      <c r="P37" s="154"/>
      <c r="Q37" s="154"/>
      <c r="Y37" s="9" t="s">
        <v>140</v>
      </c>
      <c r="Z37" s="276">
        <f>AA35-Z36</f>
        <v>1708.2096400000028</v>
      </c>
    </row>
    <row r="38" spans="3:8" ht="15">
      <c r="C38" s="241"/>
      <c r="F38" s="187"/>
      <c r="G38" s="187"/>
      <c r="H38" s="186"/>
    </row>
    <row r="42" ht="15">
      <c r="N42" s="4">
        <f>N28/P28</f>
        <v>0.5688004216725187</v>
      </c>
    </row>
    <row r="43" spans="14:17" ht="15">
      <c r="N43" s="4">
        <v>53.00796</v>
      </c>
      <c r="Q43" s="4" t="s">
        <v>119</v>
      </c>
    </row>
    <row r="44" ht="15">
      <c r="N44" s="4">
        <f>N43*N42</f>
        <v>30.15095</v>
      </c>
    </row>
    <row r="45" spans="14:15" ht="15">
      <c r="N45" s="4">
        <v>30.15095</v>
      </c>
      <c r="O45" s="4">
        <f>N43-N45</f>
        <v>22.857009999999995</v>
      </c>
    </row>
  </sheetData>
  <sheetProtection/>
  <mergeCells count="43">
    <mergeCell ref="F25:G25"/>
    <mergeCell ref="F21:G21"/>
    <mergeCell ref="F22:G22"/>
    <mergeCell ref="F23:G23"/>
    <mergeCell ref="F24:G24"/>
    <mergeCell ref="F17:G17"/>
    <mergeCell ref="F18:G18"/>
    <mergeCell ref="F19:G19"/>
    <mergeCell ref="F20:G20"/>
    <mergeCell ref="F26:G26"/>
    <mergeCell ref="E10:E11"/>
    <mergeCell ref="B9:B11"/>
    <mergeCell ref="C9:C11"/>
    <mergeCell ref="D10:D11"/>
    <mergeCell ref="D9:E9"/>
    <mergeCell ref="F13:G13"/>
    <mergeCell ref="F14:G14"/>
    <mergeCell ref="F15:G15"/>
    <mergeCell ref="F16:G16"/>
    <mergeCell ref="H9:H11"/>
    <mergeCell ref="F9:G9"/>
    <mergeCell ref="F10:F11"/>
    <mergeCell ref="G10:G11"/>
    <mergeCell ref="N1:P1"/>
    <mergeCell ref="A2:P2"/>
    <mergeCell ref="A4:P4"/>
    <mergeCell ref="A6:P6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85" zoomScaleNormal="85" zoomScaleSheetLayoutView="85" zoomScalePageLayoutView="0" workbookViewId="0" topLeftCell="AO1">
      <pane ySplit="12" topLeftCell="BM13" activePane="bottomLeft" state="frozen"/>
      <selection pane="topLeft" activeCell="I17" sqref="I17"/>
      <selection pane="bottomLeft" activeCell="BE14" sqref="BE14:BF14"/>
    </sheetView>
  </sheetViews>
  <sheetFormatPr defaultColWidth="9.140625" defaultRowHeight="15"/>
  <cols>
    <col min="1" max="1" width="4.140625" style="52" customWidth="1"/>
    <col min="2" max="2" width="18.57421875" style="7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5742187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83" t="s">
        <v>110</v>
      </c>
      <c r="R1" s="383"/>
      <c r="S1" s="383"/>
      <c r="T1" s="383"/>
      <c r="AJ1" s="383" t="s">
        <v>110</v>
      </c>
      <c r="AK1" s="383"/>
      <c r="AL1" s="383"/>
      <c r="AM1" s="49"/>
      <c r="AN1" s="49"/>
      <c r="BH1" s="383" t="s">
        <v>110</v>
      </c>
      <c r="BI1" s="383"/>
      <c r="BJ1" s="383"/>
    </row>
    <row r="2" spans="1:62" s="50" customFormat="1" ht="22.5" customHeight="1">
      <c r="A2" s="367" t="s">
        <v>138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 t="s">
        <v>138</v>
      </c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 t="s">
        <v>138</v>
      </c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68" t="s">
        <v>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 t="s">
        <v>37</v>
      </c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 t="s">
        <v>37</v>
      </c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69" t="s">
        <v>143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 t="s">
        <v>143</v>
      </c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 t="s">
        <v>143</v>
      </c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378">
        <v>1</v>
      </c>
      <c r="D9" s="378"/>
      <c r="E9" s="378"/>
      <c r="F9" s="378"/>
      <c r="G9" s="378"/>
      <c r="H9" s="378"/>
      <c r="I9" s="378">
        <v>2</v>
      </c>
      <c r="J9" s="378"/>
      <c r="K9" s="378"/>
      <c r="L9" s="378"/>
      <c r="M9" s="378"/>
      <c r="N9" s="378"/>
      <c r="O9" s="378">
        <v>3</v>
      </c>
      <c r="P9" s="378"/>
      <c r="Q9" s="378"/>
      <c r="R9" s="378"/>
      <c r="S9" s="378"/>
      <c r="T9" s="378"/>
      <c r="U9" s="378">
        <v>4</v>
      </c>
      <c r="V9" s="378"/>
      <c r="W9" s="378"/>
      <c r="X9" s="378"/>
      <c r="Y9" s="378"/>
      <c r="Z9" s="378"/>
      <c r="AA9" s="378">
        <v>5</v>
      </c>
      <c r="AB9" s="378"/>
      <c r="AC9" s="378"/>
      <c r="AD9" s="378"/>
      <c r="AE9" s="378"/>
      <c r="AF9" s="378"/>
      <c r="AG9" s="371">
        <v>6</v>
      </c>
      <c r="AH9" s="371"/>
      <c r="AI9" s="371"/>
      <c r="AJ9" s="371"/>
      <c r="AK9" s="371"/>
      <c r="AL9" s="371"/>
      <c r="AM9" s="371">
        <v>7</v>
      </c>
      <c r="AN9" s="371"/>
      <c r="AO9" s="371"/>
      <c r="AP9" s="371"/>
      <c r="AQ9" s="371"/>
      <c r="AR9" s="371"/>
      <c r="AS9" s="371">
        <v>8</v>
      </c>
      <c r="AT9" s="371"/>
      <c r="AU9" s="371"/>
      <c r="AV9" s="371"/>
      <c r="AW9" s="371"/>
      <c r="AX9" s="371"/>
      <c r="AY9" s="371">
        <v>9</v>
      </c>
      <c r="AZ9" s="371"/>
      <c r="BA9" s="371"/>
      <c r="BB9" s="371"/>
      <c r="BC9" s="371"/>
      <c r="BD9" s="371"/>
      <c r="BE9" s="370">
        <v>10</v>
      </c>
      <c r="BF9" s="370"/>
      <c r="BG9" s="370"/>
      <c r="BH9" s="370"/>
      <c r="BI9" s="370"/>
      <c r="BJ9" s="370"/>
    </row>
    <row r="10" spans="1:62" s="57" customFormat="1" ht="22.5" customHeight="1">
      <c r="A10" s="372" t="s">
        <v>0</v>
      </c>
      <c r="B10" s="375" t="s">
        <v>111</v>
      </c>
      <c r="C10" s="362" t="s">
        <v>58</v>
      </c>
      <c r="D10" s="362"/>
      <c r="E10" s="362"/>
      <c r="F10" s="362"/>
      <c r="G10" s="362"/>
      <c r="H10" s="362"/>
      <c r="I10" s="379" t="s">
        <v>59</v>
      </c>
      <c r="J10" s="380"/>
      <c r="K10" s="380"/>
      <c r="L10" s="380"/>
      <c r="M10" s="380"/>
      <c r="N10" s="381"/>
      <c r="O10" s="379" t="s">
        <v>60</v>
      </c>
      <c r="P10" s="380"/>
      <c r="Q10" s="380"/>
      <c r="R10" s="380"/>
      <c r="S10" s="380"/>
      <c r="T10" s="381"/>
      <c r="U10" s="379" t="s">
        <v>112</v>
      </c>
      <c r="V10" s="380"/>
      <c r="W10" s="380"/>
      <c r="X10" s="380"/>
      <c r="Y10" s="380"/>
      <c r="Z10" s="380"/>
      <c r="AA10" s="379" t="s">
        <v>61</v>
      </c>
      <c r="AB10" s="380"/>
      <c r="AC10" s="380"/>
      <c r="AD10" s="380"/>
      <c r="AE10" s="380"/>
      <c r="AF10" s="380"/>
      <c r="AG10" s="362" t="s">
        <v>62</v>
      </c>
      <c r="AH10" s="362"/>
      <c r="AI10" s="362"/>
      <c r="AJ10" s="362"/>
      <c r="AK10" s="362"/>
      <c r="AL10" s="362"/>
      <c r="AM10" s="362" t="s">
        <v>63</v>
      </c>
      <c r="AN10" s="362"/>
      <c r="AO10" s="362"/>
      <c r="AP10" s="362"/>
      <c r="AQ10" s="362"/>
      <c r="AR10" s="362"/>
      <c r="AS10" s="362" t="s">
        <v>64</v>
      </c>
      <c r="AT10" s="362"/>
      <c r="AU10" s="362"/>
      <c r="AV10" s="362"/>
      <c r="AW10" s="362"/>
      <c r="AX10" s="362"/>
      <c r="AY10" s="362" t="s">
        <v>65</v>
      </c>
      <c r="AZ10" s="362"/>
      <c r="BA10" s="362"/>
      <c r="BB10" s="362"/>
      <c r="BC10" s="362"/>
      <c r="BD10" s="362"/>
      <c r="BE10" s="362" t="s">
        <v>116</v>
      </c>
      <c r="BF10" s="362"/>
      <c r="BG10" s="362"/>
      <c r="BH10" s="362"/>
      <c r="BI10" s="362"/>
      <c r="BJ10" s="362"/>
    </row>
    <row r="11" spans="1:62" s="57" customFormat="1" ht="28.5" customHeight="1">
      <c r="A11" s="373"/>
      <c r="B11" s="376"/>
      <c r="C11" s="362" t="s">
        <v>66</v>
      </c>
      <c r="D11" s="362"/>
      <c r="E11" s="362"/>
      <c r="F11" s="362" t="s">
        <v>67</v>
      </c>
      <c r="G11" s="362"/>
      <c r="H11" s="362"/>
      <c r="I11" s="362" t="s">
        <v>66</v>
      </c>
      <c r="J11" s="362"/>
      <c r="K11" s="362"/>
      <c r="L11" s="362" t="s">
        <v>67</v>
      </c>
      <c r="M11" s="362"/>
      <c r="N11" s="362"/>
      <c r="O11" s="362" t="s">
        <v>66</v>
      </c>
      <c r="P11" s="362"/>
      <c r="Q11" s="362"/>
      <c r="R11" s="362" t="s">
        <v>67</v>
      </c>
      <c r="S11" s="362"/>
      <c r="T11" s="362"/>
      <c r="U11" s="362" t="s">
        <v>66</v>
      </c>
      <c r="V11" s="362"/>
      <c r="W11" s="362"/>
      <c r="X11" s="362" t="s">
        <v>67</v>
      </c>
      <c r="Y11" s="362"/>
      <c r="Z11" s="362"/>
      <c r="AA11" s="362" t="s">
        <v>66</v>
      </c>
      <c r="AB11" s="362"/>
      <c r="AC11" s="362"/>
      <c r="AD11" s="362" t="s">
        <v>67</v>
      </c>
      <c r="AE11" s="362"/>
      <c r="AF11" s="362"/>
      <c r="AG11" s="362" t="s">
        <v>66</v>
      </c>
      <c r="AH11" s="362"/>
      <c r="AI11" s="362"/>
      <c r="AJ11" s="362" t="s">
        <v>67</v>
      </c>
      <c r="AK11" s="362"/>
      <c r="AL11" s="362"/>
      <c r="AM11" s="362" t="s">
        <v>66</v>
      </c>
      <c r="AN11" s="362"/>
      <c r="AO11" s="362"/>
      <c r="AP11" s="362" t="s">
        <v>67</v>
      </c>
      <c r="AQ11" s="362"/>
      <c r="AR11" s="362"/>
      <c r="AS11" s="362" t="s">
        <v>66</v>
      </c>
      <c r="AT11" s="362"/>
      <c r="AU11" s="362"/>
      <c r="AV11" s="362" t="s">
        <v>67</v>
      </c>
      <c r="AW11" s="362"/>
      <c r="AX11" s="362"/>
      <c r="AY11" s="362" t="s">
        <v>66</v>
      </c>
      <c r="AZ11" s="362"/>
      <c r="BA11" s="362"/>
      <c r="BB11" s="362" t="s">
        <v>67</v>
      </c>
      <c r="BC11" s="362"/>
      <c r="BD11" s="362"/>
      <c r="BE11" s="362" t="s">
        <v>66</v>
      </c>
      <c r="BF11" s="362"/>
      <c r="BG11" s="362"/>
      <c r="BH11" s="362" t="s">
        <v>67</v>
      </c>
      <c r="BI11" s="362"/>
      <c r="BJ11" s="362"/>
    </row>
    <row r="12" spans="1:62" s="58" customFormat="1" ht="28.5" customHeight="1">
      <c r="A12" s="374"/>
      <c r="B12" s="377"/>
      <c r="C12" s="361" t="s">
        <v>68</v>
      </c>
      <c r="D12" s="361"/>
      <c r="E12" s="365" t="s">
        <v>69</v>
      </c>
      <c r="F12" s="361" t="s">
        <v>68</v>
      </c>
      <c r="G12" s="361"/>
      <c r="H12" s="365" t="s">
        <v>69</v>
      </c>
      <c r="I12" s="361" t="s">
        <v>68</v>
      </c>
      <c r="J12" s="361"/>
      <c r="K12" s="365" t="s">
        <v>69</v>
      </c>
      <c r="L12" s="361" t="s">
        <v>68</v>
      </c>
      <c r="M12" s="361"/>
      <c r="N12" s="365" t="s">
        <v>69</v>
      </c>
      <c r="O12" s="361" t="s">
        <v>68</v>
      </c>
      <c r="P12" s="361"/>
      <c r="Q12" s="365" t="s">
        <v>69</v>
      </c>
      <c r="R12" s="361" t="s">
        <v>68</v>
      </c>
      <c r="S12" s="361"/>
      <c r="T12" s="365" t="s">
        <v>69</v>
      </c>
      <c r="U12" s="361" t="s">
        <v>68</v>
      </c>
      <c r="V12" s="361"/>
      <c r="W12" s="365" t="s">
        <v>69</v>
      </c>
      <c r="X12" s="361" t="s">
        <v>68</v>
      </c>
      <c r="Y12" s="361"/>
      <c r="Z12" s="365" t="s">
        <v>69</v>
      </c>
      <c r="AA12" s="361" t="s">
        <v>68</v>
      </c>
      <c r="AB12" s="361"/>
      <c r="AC12" s="365" t="s">
        <v>69</v>
      </c>
      <c r="AD12" s="361" t="s">
        <v>68</v>
      </c>
      <c r="AE12" s="361"/>
      <c r="AF12" s="365" t="s">
        <v>69</v>
      </c>
      <c r="AG12" s="361" t="s">
        <v>68</v>
      </c>
      <c r="AH12" s="361"/>
      <c r="AI12" s="365" t="s">
        <v>69</v>
      </c>
      <c r="AJ12" s="361" t="s">
        <v>68</v>
      </c>
      <c r="AK12" s="361"/>
      <c r="AL12" s="365" t="s">
        <v>69</v>
      </c>
      <c r="AM12" s="361" t="s">
        <v>68</v>
      </c>
      <c r="AN12" s="361"/>
      <c r="AO12" s="365" t="s">
        <v>69</v>
      </c>
      <c r="AP12" s="361" t="s">
        <v>68</v>
      </c>
      <c r="AQ12" s="361"/>
      <c r="AR12" s="365" t="s">
        <v>69</v>
      </c>
      <c r="AS12" s="361" t="s">
        <v>68</v>
      </c>
      <c r="AT12" s="361"/>
      <c r="AU12" s="365" t="s">
        <v>69</v>
      </c>
      <c r="AV12" s="361" t="s">
        <v>68</v>
      </c>
      <c r="AW12" s="361"/>
      <c r="AX12" s="365" t="s">
        <v>69</v>
      </c>
      <c r="AY12" s="361" t="s">
        <v>68</v>
      </c>
      <c r="AZ12" s="361"/>
      <c r="BA12" s="365" t="s">
        <v>69</v>
      </c>
      <c r="BB12" s="361" t="s">
        <v>68</v>
      </c>
      <c r="BC12" s="361"/>
      <c r="BD12" s="365" t="s">
        <v>69</v>
      </c>
      <c r="BE12" s="361" t="s">
        <v>68</v>
      </c>
      <c r="BF12" s="361"/>
      <c r="BG12" s="365" t="s">
        <v>69</v>
      </c>
      <c r="BH12" s="361" t="s">
        <v>68</v>
      </c>
      <c r="BI12" s="361"/>
      <c r="BJ12" s="365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366"/>
      <c r="F13" s="61" t="s">
        <v>70</v>
      </c>
      <c r="G13" s="61" t="s">
        <v>71</v>
      </c>
      <c r="H13" s="366"/>
      <c r="I13" s="61" t="s">
        <v>70</v>
      </c>
      <c r="J13" s="61" t="s">
        <v>72</v>
      </c>
      <c r="K13" s="366"/>
      <c r="L13" s="61" t="s">
        <v>70</v>
      </c>
      <c r="M13" s="61" t="s">
        <v>72</v>
      </c>
      <c r="N13" s="366"/>
      <c r="O13" s="61" t="s">
        <v>70</v>
      </c>
      <c r="P13" s="61" t="s">
        <v>73</v>
      </c>
      <c r="Q13" s="366"/>
      <c r="R13" s="61" t="s">
        <v>70</v>
      </c>
      <c r="S13" s="61" t="s">
        <v>73</v>
      </c>
      <c r="T13" s="366"/>
      <c r="U13" s="61" t="s">
        <v>70</v>
      </c>
      <c r="V13" s="61" t="s">
        <v>113</v>
      </c>
      <c r="W13" s="366"/>
      <c r="X13" s="61" t="s">
        <v>70</v>
      </c>
      <c r="Y13" s="61" t="s">
        <v>113</v>
      </c>
      <c r="Z13" s="366"/>
      <c r="AA13" s="61" t="s">
        <v>70</v>
      </c>
      <c r="AB13" s="61" t="s">
        <v>71</v>
      </c>
      <c r="AC13" s="366"/>
      <c r="AD13" s="61" t="s">
        <v>70</v>
      </c>
      <c r="AE13" s="61" t="s">
        <v>71</v>
      </c>
      <c r="AF13" s="366"/>
      <c r="AG13" s="61" t="s">
        <v>70</v>
      </c>
      <c r="AH13" s="61" t="s">
        <v>72</v>
      </c>
      <c r="AI13" s="366"/>
      <c r="AJ13" s="61" t="s">
        <v>70</v>
      </c>
      <c r="AK13" s="61" t="s">
        <v>72</v>
      </c>
      <c r="AL13" s="366"/>
      <c r="AM13" s="61" t="s">
        <v>70</v>
      </c>
      <c r="AN13" s="61" t="s">
        <v>73</v>
      </c>
      <c r="AO13" s="366"/>
      <c r="AP13" s="61" t="s">
        <v>70</v>
      </c>
      <c r="AQ13" s="61" t="s">
        <v>73</v>
      </c>
      <c r="AR13" s="366"/>
      <c r="AS13" s="61" t="s">
        <v>70</v>
      </c>
      <c r="AT13" s="61" t="s">
        <v>73</v>
      </c>
      <c r="AU13" s="366"/>
      <c r="AV13" s="61" t="s">
        <v>70</v>
      </c>
      <c r="AW13" s="61" t="s">
        <v>73</v>
      </c>
      <c r="AX13" s="366"/>
      <c r="AY13" s="363" t="s">
        <v>70</v>
      </c>
      <c r="AZ13" s="364"/>
      <c r="BA13" s="366"/>
      <c r="BB13" s="363" t="s">
        <v>70</v>
      </c>
      <c r="BC13" s="364"/>
      <c r="BD13" s="366"/>
      <c r="BE13" s="363" t="s">
        <v>70</v>
      </c>
      <c r="BF13" s="364"/>
      <c r="BG13" s="366"/>
      <c r="BH13" s="363" t="s">
        <v>70</v>
      </c>
      <c r="BI13" s="364"/>
      <c r="BJ13" s="366"/>
    </row>
    <row r="14" spans="1:65" s="69" customFormat="1" ht="90" customHeight="1">
      <c r="A14" s="63"/>
      <c r="B14" s="64" t="s">
        <v>114</v>
      </c>
      <c r="C14" s="65">
        <v>506</v>
      </c>
      <c r="D14" s="66">
        <v>820495.17914</v>
      </c>
      <c r="E14" s="66">
        <v>375.4107</v>
      </c>
      <c r="F14" s="252">
        <v>805</v>
      </c>
      <c r="G14" s="66">
        <v>1307483.78255457</v>
      </c>
      <c r="H14" s="66">
        <v>582.25475</v>
      </c>
      <c r="I14" s="65">
        <v>245</v>
      </c>
      <c r="J14" s="66">
        <v>1018.51352941176</v>
      </c>
      <c r="K14" s="66">
        <v>186.48196</v>
      </c>
      <c r="L14" s="252">
        <v>324</v>
      </c>
      <c r="M14" s="66">
        <v>1413.87138624121</v>
      </c>
      <c r="N14" s="66">
        <v>198.74263</v>
      </c>
      <c r="O14" s="65">
        <v>329</v>
      </c>
      <c r="P14" s="66">
        <v>417.78522300457</v>
      </c>
      <c r="Q14" s="66">
        <v>267.1007</v>
      </c>
      <c r="R14" s="252">
        <v>282</v>
      </c>
      <c r="S14" s="66">
        <v>282.661817696085</v>
      </c>
      <c r="T14" s="66">
        <v>216.92776999999998</v>
      </c>
      <c r="U14" s="65">
        <v>341</v>
      </c>
      <c r="V14" s="66">
        <v>817.5662</v>
      </c>
      <c r="W14" s="66">
        <v>181.86735</v>
      </c>
      <c r="X14" s="252">
        <v>193</v>
      </c>
      <c r="Y14" s="66">
        <v>403.658738428</v>
      </c>
      <c r="Z14" s="66">
        <v>97.69739999999999</v>
      </c>
      <c r="AA14" s="66">
        <v>123</v>
      </c>
      <c r="AB14" s="66">
        <v>86671.6888888889</v>
      </c>
      <c r="AC14" s="66">
        <v>98.67829</v>
      </c>
      <c r="AD14" s="253">
        <v>124</v>
      </c>
      <c r="AE14" s="66">
        <v>95496.40262337663</v>
      </c>
      <c r="AF14" s="66">
        <v>71.82672</v>
      </c>
      <c r="AG14" s="65">
        <v>1098</v>
      </c>
      <c r="AH14" s="66">
        <v>3328.46488</v>
      </c>
      <c r="AI14" s="66">
        <v>1198.40537</v>
      </c>
      <c r="AJ14" s="252">
        <v>739</v>
      </c>
      <c r="AK14" s="66">
        <v>2632.8066535038</v>
      </c>
      <c r="AL14" s="66">
        <v>601.4416</v>
      </c>
      <c r="AM14" s="65">
        <v>433</v>
      </c>
      <c r="AN14" s="66">
        <v>363.2721269073</v>
      </c>
      <c r="AO14" s="66">
        <v>723.24068</v>
      </c>
      <c r="AP14" s="252">
        <v>444</v>
      </c>
      <c r="AQ14" s="66">
        <v>279.84206</v>
      </c>
      <c r="AR14" s="66">
        <v>616.40421</v>
      </c>
      <c r="AS14" s="65">
        <v>1050</v>
      </c>
      <c r="AT14" s="66">
        <v>1810.1563697510705</v>
      </c>
      <c r="AU14" s="66">
        <v>1546.560645</v>
      </c>
      <c r="AV14" s="252">
        <v>1168</v>
      </c>
      <c r="AW14" s="66">
        <v>578.0566753722248</v>
      </c>
      <c r="AX14" s="66">
        <v>2252.7318150000006</v>
      </c>
      <c r="AY14" s="67">
        <v>0</v>
      </c>
      <c r="AZ14" s="68">
        <v>0</v>
      </c>
      <c r="BA14" s="68">
        <v>0</v>
      </c>
      <c r="BB14" s="67">
        <v>0</v>
      </c>
      <c r="BC14" s="68">
        <v>0</v>
      </c>
      <c r="BD14" s="68">
        <v>0</v>
      </c>
      <c r="BE14" s="360">
        <f>SUM(C14,I14,O14,U14,AA14,AG14,AM14,AS14,AY14)</f>
        <v>4125</v>
      </c>
      <c r="BF14" s="360"/>
      <c r="BG14" s="66">
        <f>SUM(E14,K14,Q14,W14,AC14,AI14,AO14,AU14,BA14)</f>
        <v>4577.745695</v>
      </c>
      <c r="BH14" s="360">
        <f>SUM(F14,L14,R14,X14,AD14,AJ14,AP14,AV14,BB14)</f>
        <v>4079</v>
      </c>
      <c r="BI14" s="360"/>
      <c r="BJ14" s="66">
        <f>SUM(H14,N14,T14,Z14,AF14,AL14,AR14,AX14,BD14)</f>
        <v>4638.026895000001</v>
      </c>
      <c r="BK14" s="243">
        <f>BG14+BJ14</f>
        <v>9215.77259</v>
      </c>
      <c r="BL14" s="69">
        <f>SUM('Part-II'!K30:M30)</f>
        <v>9215.77259</v>
      </c>
      <c r="BM14" s="304">
        <f>BL14-BK14</f>
        <v>0</v>
      </c>
    </row>
    <row r="15" spans="2:63" s="295" customFormat="1" ht="60" customHeight="1">
      <c r="B15" s="296"/>
      <c r="D15" s="70"/>
      <c r="G15" s="70"/>
      <c r="J15" s="70"/>
      <c r="M15" s="70"/>
      <c r="P15" s="70"/>
      <c r="S15" s="70"/>
      <c r="V15" s="70"/>
      <c r="Y15" s="70"/>
      <c r="AB15" s="70"/>
      <c r="AE15" s="70"/>
      <c r="AH15" s="70"/>
      <c r="AK15" s="70"/>
      <c r="AN15" s="70"/>
      <c r="AQ15" s="70"/>
      <c r="AT15" s="70"/>
      <c r="AW15" s="70"/>
      <c r="BE15" s="297"/>
      <c r="BF15" s="298"/>
      <c r="BG15" s="70"/>
      <c r="BH15" s="297"/>
      <c r="BI15" s="297"/>
      <c r="BJ15" s="70"/>
      <c r="BK15" s="243"/>
    </row>
    <row r="16" spans="2:63" s="283" customFormat="1" ht="62.25" customHeight="1">
      <c r="B16" s="288"/>
      <c r="C16" s="295"/>
      <c r="D16" s="70"/>
      <c r="E16" s="295"/>
      <c r="F16" s="295"/>
      <c r="G16" s="70"/>
      <c r="H16" s="295"/>
      <c r="I16" s="295"/>
      <c r="J16" s="70"/>
      <c r="K16" s="295"/>
      <c r="L16" s="295"/>
      <c r="M16" s="70"/>
      <c r="N16" s="295"/>
      <c r="O16" s="295"/>
      <c r="P16" s="70"/>
      <c r="Q16" s="295"/>
      <c r="R16" s="295"/>
      <c r="S16" s="70"/>
      <c r="T16" s="295"/>
      <c r="U16" s="295"/>
      <c r="V16" s="70"/>
      <c r="W16" s="295"/>
      <c r="X16" s="295"/>
      <c r="Y16" s="70"/>
      <c r="Z16" s="295"/>
      <c r="AA16" s="295"/>
      <c r="AB16" s="70"/>
      <c r="AC16" s="295"/>
      <c r="AD16" s="295"/>
      <c r="AE16" s="70"/>
      <c r="AF16" s="295"/>
      <c r="AG16" s="295"/>
      <c r="AH16" s="70"/>
      <c r="AI16" s="295"/>
      <c r="AJ16" s="295"/>
      <c r="AK16" s="70"/>
      <c r="AL16" s="295"/>
      <c r="AM16" s="295"/>
      <c r="AN16" s="70"/>
      <c r="AO16" s="295"/>
      <c r="AP16" s="295"/>
      <c r="AQ16" s="70"/>
      <c r="AR16" s="295"/>
      <c r="AS16" s="295"/>
      <c r="AT16" s="70"/>
      <c r="AU16" s="295"/>
      <c r="AV16" s="295"/>
      <c r="AW16" s="70"/>
      <c r="AX16" s="295"/>
      <c r="AY16" s="289"/>
      <c r="BE16" s="101"/>
      <c r="BF16" s="290"/>
      <c r="BG16" s="70"/>
      <c r="BH16" s="290"/>
      <c r="BI16" s="291"/>
      <c r="BJ16" s="70"/>
      <c r="BK16" s="243"/>
    </row>
    <row r="17" spans="51:62" s="190" customFormat="1" ht="18.75">
      <c r="AY17" s="310"/>
      <c r="AZ17" s="310"/>
      <c r="BA17" s="310"/>
      <c r="BE17" s="301"/>
      <c r="BF17" s="302"/>
      <c r="BG17" s="302"/>
      <c r="BH17" s="302"/>
      <c r="BI17" s="302"/>
      <c r="BJ17" s="302"/>
    </row>
    <row r="18" spans="2:62" s="299" customFormat="1" ht="18.75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Z18" s="300"/>
      <c r="BA18" s="300"/>
      <c r="BE18" s="301"/>
      <c r="BF18" s="302"/>
      <c r="BG18" s="302"/>
      <c r="BH18" s="302"/>
      <c r="BI18" s="303"/>
      <c r="BJ18" s="303"/>
    </row>
    <row r="19" spans="44:57" s="299" customFormat="1" ht="15.75">
      <c r="AR19" s="305"/>
      <c r="AS19" s="305"/>
      <c r="AT19" s="305"/>
      <c r="AU19" s="305"/>
      <c r="AV19" s="305"/>
      <c r="AW19" s="305"/>
      <c r="AX19" s="305"/>
      <c r="BE19" s="311" t="s">
        <v>136</v>
      </c>
    </row>
    <row r="20" spans="3:57" ht="16.5">
      <c r="C20" s="72"/>
      <c r="E20" s="72"/>
      <c r="F20" s="72"/>
      <c r="G20" s="72"/>
      <c r="I20" s="72"/>
      <c r="K20" s="72"/>
      <c r="L20" s="72"/>
      <c r="M20" s="72"/>
      <c r="O20" s="72"/>
      <c r="Q20" s="72"/>
      <c r="R20" s="72"/>
      <c r="S20" s="72"/>
      <c r="U20" s="72"/>
      <c r="W20" s="72"/>
      <c r="X20" s="72"/>
      <c r="Y20" s="72"/>
      <c r="AA20" s="72"/>
      <c r="AC20" s="72"/>
      <c r="AD20" s="72"/>
      <c r="AE20" s="72"/>
      <c r="AG20" s="72"/>
      <c r="AI20" s="72"/>
      <c r="AJ20" s="72"/>
      <c r="AK20" s="72"/>
      <c r="AM20" s="72"/>
      <c r="AO20" s="72"/>
      <c r="AP20" s="72"/>
      <c r="AQ20" s="72"/>
      <c r="AS20" s="72"/>
      <c r="AU20" s="72"/>
      <c r="AV20" s="72"/>
      <c r="AW20" s="72"/>
      <c r="BE20" s="103" t="s">
        <v>117</v>
      </c>
    </row>
    <row r="21" spans="3:49" ht="15">
      <c r="C21" s="72"/>
      <c r="E21" s="72"/>
      <c r="F21" s="72"/>
      <c r="G21" s="72"/>
      <c r="I21" s="72"/>
      <c r="K21" s="72"/>
      <c r="L21" s="72"/>
      <c r="M21" s="72"/>
      <c r="O21" s="72"/>
      <c r="Q21" s="72"/>
      <c r="R21" s="72"/>
      <c r="S21" s="72"/>
      <c r="U21" s="72"/>
      <c r="W21" s="72"/>
      <c r="X21" s="72"/>
      <c r="Y21" s="72"/>
      <c r="AA21" s="72"/>
      <c r="AC21" s="72"/>
      <c r="AD21" s="72"/>
      <c r="AE21" s="72"/>
      <c r="AG21" s="72"/>
      <c r="AI21" s="72"/>
      <c r="AJ21" s="72"/>
      <c r="AK21" s="72"/>
      <c r="AM21" s="72"/>
      <c r="AO21" s="72"/>
      <c r="AP21" s="72"/>
      <c r="AQ21" s="72"/>
      <c r="AS21" s="72"/>
      <c r="AU21" s="72"/>
      <c r="AV21" s="72"/>
      <c r="AW21" s="72"/>
    </row>
    <row r="22" spans="18:58" ht="15.75" customHeight="1">
      <c r="R22" s="382"/>
      <c r="S22" s="382"/>
      <c r="BF22" s="72"/>
    </row>
    <row r="23" spans="40:58" ht="15">
      <c r="AN23" s="72"/>
      <c r="AO23" s="163"/>
      <c r="AP23" s="72"/>
      <c r="AQ23" s="72"/>
      <c r="AR23" s="163"/>
      <c r="AS23" s="72"/>
      <c r="AT23" s="72"/>
      <c r="BF23" s="72"/>
    </row>
    <row r="24" spans="40:58" ht="15">
      <c r="AN24" s="72"/>
      <c r="AO24" s="163"/>
      <c r="AP24" s="72"/>
      <c r="AQ24" s="72"/>
      <c r="AR24" s="163"/>
      <c r="AS24" s="72"/>
      <c r="AT24" s="72"/>
      <c r="BF24" s="73"/>
    </row>
    <row r="25" spans="40:46" ht="15">
      <c r="AN25" s="72"/>
      <c r="AO25" s="163"/>
      <c r="AP25" s="72"/>
      <c r="AQ25" s="72"/>
      <c r="AR25" s="163"/>
      <c r="AS25" s="72"/>
      <c r="AT25" s="72"/>
    </row>
    <row r="26" spans="40:46" ht="15">
      <c r="AN26" s="72"/>
      <c r="AO26" s="163"/>
      <c r="AP26" s="72"/>
      <c r="AQ26" s="72"/>
      <c r="AR26" s="163"/>
      <c r="AS26" s="72"/>
      <c r="AT26" s="72"/>
    </row>
    <row r="27" spans="40:46" ht="15">
      <c r="AN27" s="72"/>
      <c r="AO27" s="163"/>
      <c r="AP27" s="72"/>
      <c r="AQ27" s="72"/>
      <c r="AR27" s="163"/>
      <c r="AS27" s="72"/>
      <c r="AT27" s="72"/>
    </row>
    <row r="28" spans="40:46" ht="15">
      <c r="AN28" s="72"/>
      <c r="AO28" s="163"/>
      <c r="AP28" s="72"/>
      <c r="AQ28" s="72"/>
      <c r="AR28" s="163"/>
      <c r="AS28" s="72"/>
      <c r="AT28" s="72"/>
    </row>
    <row r="29" spans="40:46" ht="15">
      <c r="AN29" s="72"/>
      <c r="AO29" s="163"/>
      <c r="AP29" s="72"/>
      <c r="AQ29" s="72"/>
      <c r="AR29" s="163"/>
      <c r="AS29" s="72"/>
      <c r="AT29" s="72"/>
    </row>
    <row r="30" spans="40:46" ht="15">
      <c r="AN30" s="72"/>
      <c r="AO30" s="163"/>
      <c r="AP30" s="72"/>
      <c r="AQ30" s="72"/>
      <c r="AR30" s="163"/>
      <c r="AS30" s="72"/>
      <c r="AT30" s="72"/>
    </row>
    <row r="31" spans="40:46" ht="15">
      <c r="AN31" s="72"/>
      <c r="AO31" s="163"/>
      <c r="AP31" s="72"/>
      <c r="AQ31" s="72"/>
      <c r="AR31" s="163"/>
      <c r="AS31" s="72"/>
      <c r="AT31" s="72"/>
    </row>
    <row r="32" spans="40:46" ht="15">
      <c r="AN32" s="72"/>
      <c r="AO32" s="163"/>
      <c r="AP32" s="72"/>
      <c r="AQ32" s="72"/>
      <c r="AR32" s="163"/>
      <c r="AS32" s="72"/>
      <c r="AT32" s="72"/>
    </row>
    <row r="33" spans="40:46" ht="15">
      <c r="AN33" s="72"/>
      <c r="AO33" s="163"/>
      <c r="AP33" s="72"/>
      <c r="AQ33" s="72"/>
      <c r="AR33" s="163"/>
      <c r="AS33" s="72"/>
      <c r="AT33" s="72"/>
    </row>
    <row r="34" spans="40:46" ht="15">
      <c r="AN34" s="72"/>
      <c r="AO34" s="163"/>
      <c r="AP34" s="72"/>
      <c r="AQ34" s="72"/>
      <c r="AR34" s="163"/>
      <c r="AS34" s="72"/>
      <c r="AT34" s="72"/>
    </row>
    <row r="35" spans="40:46" ht="15">
      <c r="AN35" s="72"/>
      <c r="AO35" s="163"/>
      <c r="AP35" s="72"/>
      <c r="AQ35" s="72"/>
      <c r="AR35" s="163"/>
      <c r="AS35" s="72"/>
      <c r="AT35" s="72"/>
    </row>
    <row r="36" spans="40:45" ht="15">
      <c r="AN36" s="72"/>
      <c r="AO36" s="72"/>
      <c r="AP36" s="72"/>
      <c r="AQ36" s="72"/>
      <c r="AR36" s="72"/>
      <c r="AS36" s="72"/>
    </row>
  </sheetData>
  <sheetProtection/>
  <mergeCells count="101">
    <mergeCell ref="R22:S22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</mergeCells>
  <conditionalFormatting sqref="AZ15:BA16 C15:C16 AX15:AY15 E15:F16 H15:I16 K15:L16 Q15:R16 W15:X16 AC15:AD16 AI15:AJ16 AO15:AP16 AU15:AV16 N15:O16 T15:U16 Z15:AA16 AF15:AG16 AL15:AM16 AR15:AS16 AX16">
    <cfRule type="cellIs" priority="1" dxfId="1" operator="lessThan" stopIfTrue="1">
      <formula>0</formula>
    </cfRule>
  </conditionalFormatting>
  <conditionalFormatting sqref="C20 E19:E20 A19:D19 I20 O20 U20 AA20 AG20 AM20 AS20 Q20 W20 AC20 AI20 AO20 AU20 K20 F19:IV19">
    <cfRule type="cellIs" priority="2" dxfId="0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1" sqref="E11:E23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85" t="s">
        <v>77</v>
      </c>
      <c r="L1" s="385"/>
    </row>
    <row r="2" spans="1:12" ht="23.25">
      <c r="A2" s="386" t="s">
        <v>138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87" t="s">
        <v>37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ht="11.25" customHeight="1"/>
    <row r="6" spans="1:12" ht="18.75">
      <c r="A6" s="388" t="s">
        <v>144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</row>
    <row r="8" spans="1:12" ht="77.25" customHeight="1">
      <c r="A8" s="384" t="s">
        <v>0</v>
      </c>
      <c r="B8" s="384" t="s">
        <v>40</v>
      </c>
      <c r="C8" s="384" t="s">
        <v>74</v>
      </c>
      <c r="D8" s="384"/>
      <c r="E8" s="384" t="s">
        <v>78</v>
      </c>
      <c r="F8" s="384"/>
      <c r="G8" s="384" t="s">
        <v>79</v>
      </c>
      <c r="H8" s="384"/>
      <c r="I8" s="384" t="s">
        <v>80</v>
      </c>
      <c r="J8" s="384"/>
      <c r="K8" s="384" t="s">
        <v>81</v>
      </c>
      <c r="L8" s="384"/>
    </row>
    <row r="9" spans="1:12" ht="15">
      <c r="A9" s="384"/>
      <c r="B9" s="384"/>
      <c r="C9" s="192" t="s">
        <v>75</v>
      </c>
      <c r="D9" s="192" t="s">
        <v>76</v>
      </c>
      <c r="E9" s="192" t="s">
        <v>75</v>
      </c>
      <c r="F9" s="192" t="s">
        <v>76</v>
      </c>
      <c r="G9" s="192" t="s">
        <v>75</v>
      </c>
      <c r="H9" s="192" t="s">
        <v>76</v>
      </c>
      <c r="I9" s="192" t="s">
        <v>75</v>
      </c>
      <c r="J9" s="192" t="s">
        <v>76</v>
      </c>
      <c r="K9" s="192" t="s">
        <v>75</v>
      </c>
      <c r="L9" s="192" t="s">
        <v>104</v>
      </c>
    </row>
    <row r="10" spans="1:19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  <c r="R10"/>
      <c r="S10"/>
    </row>
    <row r="11" spans="1:24" s="38" customFormat="1" ht="18">
      <c r="A11" s="35">
        <v>1</v>
      </c>
      <c r="B11" s="36" t="s">
        <v>23</v>
      </c>
      <c r="C11" s="37">
        <v>2306</v>
      </c>
      <c r="D11" s="180">
        <v>326</v>
      </c>
      <c r="E11" s="37">
        <v>256.61694058154234</v>
      </c>
      <c r="F11" s="37">
        <v>1</v>
      </c>
      <c r="G11" s="37">
        <v>219.61694058154234</v>
      </c>
      <c r="H11" s="37">
        <v>38</v>
      </c>
      <c r="I11" s="37">
        <v>0</v>
      </c>
      <c r="J11" s="37">
        <v>0</v>
      </c>
      <c r="K11" s="37">
        <v>0</v>
      </c>
      <c r="L11" s="37">
        <v>1</v>
      </c>
      <c r="M11" s="202"/>
      <c r="N11" s="38">
        <f>ROUND('[3]Part-I'!P12/0.00098,0)</f>
        <v>2632</v>
      </c>
      <c r="O11" s="202">
        <f>G11+H11</f>
        <v>257.61694058154234</v>
      </c>
      <c r="P11" s="202">
        <f>O11/$O$24</f>
        <v>0.09750830453502737</v>
      </c>
      <c r="Q11" s="202">
        <f>ROUND($O$25*P11,0)</f>
        <v>258</v>
      </c>
      <c r="R11" s="202"/>
      <c r="S11" s="202">
        <f>E11+F11</f>
        <v>257.61694058154234</v>
      </c>
      <c r="T11" s="202">
        <v>257.61694058154234</v>
      </c>
      <c r="U11" s="202">
        <f>T11-H11</f>
        <v>219.61694058154234</v>
      </c>
      <c r="V11" s="202">
        <f>T11-F11</f>
        <v>256.61694058154234</v>
      </c>
      <c r="W11" s="202"/>
      <c r="X11" s="202"/>
    </row>
    <row r="12" spans="1:24" s="38" customFormat="1" ht="18">
      <c r="A12" s="35">
        <v>2</v>
      </c>
      <c r="B12" s="36" t="s">
        <v>24</v>
      </c>
      <c r="C12" s="37">
        <v>1988</v>
      </c>
      <c r="D12" s="180">
        <v>384</v>
      </c>
      <c r="E12" s="37">
        <v>109.68520859671303</v>
      </c>
      <c r="F12" s="37">
        <v>4</v>
      </c>
      <c r="G12" s="37">
        <v>75.68520859671303</v>
      </c>
      <c r="H12" s="42">
        <v>38</v>
      </c>
      <c r="I12" s="37">
        <v>0</v>
      </c>
      <c r="J12" s="37">
        <v>0</v>
      </c>
      <c r="K12" s="37">
        <v>0</v>
      </c>
      <c r="L12" s="37">
        <v>0</v>
      </c>
      <c r="M12" s="202"/>
      <c r="N12" s="306">
        <f>ROUND('[3]Part-I'!P13/0.00098,0)</f>
        <v>2372</v>
      </c>
      <c r="O12" s="202">
        <f aca="true" t="shared" si="0" ref="O12:O23">G12+H12</f>
        <v>113.68520859671303</v>
      </c>
      <c r="P12" s="202">
        <f aca="true" t="shared" si="1" ref="P12:P23">O12/$O$24</f>
        <v>0.04302998054379751</v>
      </c>
      <c r="Q12" s="202">
        <f aca="true" t="shared" si="2" ref="Q12:Q23">ROUND($O$25*P12,0)</f>
        <v>114</v>
      </c>
      <c r="R12" s="202"/>
      <c r="S12" s="202">
        <f aca="true" t="shared" si="3" ref="S12:S23">E12+F12</f>
        <v>113.68520859671303</v>
      </c>
      <c r="T12" s="202">
        <v>113.68520859671303</v>
      </c>
      <c r="U12" s="202">
        <f aca="true" t="shared" si="4" ref="U12:U23">T12-H12</f>
        <v>75.68520859671303</v>
      </c>
      <c r="V12" s="202">
        <f aca="true" t="shared" si="5" ref="V12:V23">T12-F12</f>
        <v>109.68520859671303</v>
      </c>
      <c r="W12" s="202"/>
      <c r="X12" s="202"/>
    </row>
    <row r="13" spans="1:24" s="38" customFormat="1" ht="18.75" customHeight="1">
      <c r="A13" s="35">
        <v>3</v>
      </c>
      <c r="B13" s="36" t="s">
        <v>25</v>
      </c>
      <c r="C13" s="37">
        <v>7989</v>
      </c>
      <c r="D13" s="180">
        <v>658</v>
      </c>
      <c r="E13" s="37">
        <v>796.2262958280658</v>
      </c>
      <c r="F13" s="37">
        <v>10</v>
      </c>
      <c r="G13" s="37">
        <v>764.2262958280658</v>
      </c>
      <c r="H13" s="37">
        <v>42</v>
      </c>
      <c r="I13" s="37">
        <v>0</v>
      </c>
      <c r="J13" s="37">
        <v>0</v>
      </c>
      <c r="K13" s="37">
        <v>3</v>
      </c>
      <c r="L13" s="37">
        <v>0</v>
      </c>
      <c r="M13" s="202"/>
      <c r="N13" s="38">
        <f>ROUND('[3]Part-I'!P14/0.00098,0)</f>
        <v>8647</v>
      </c>
      <c r="O13" s="202">
        <f t="shared" si="0"/>
        <v>806.2262958280658</v>
      </c>
      <c r="P13" s="202">
        <f t="shared" si="1"/>
        <v>0.30515756844362824</v>
      </c>
      <c r="Q13" s="202">
        <f t="shared" si="2"/>
        <v>806</v>
      </c>
      <c r="R13" s="202"/>
      <c r="S13" s="202">
        <f t="shared" si="3"/>
        <v>806.2262958280658</v>
      </c>
      <c r="T13" s="202">
        <v>806.2262958280658</v>
      </c>
      <c r="U13" s="202">
        <f t="shared" si="4"/>
        <v>764.2262958280658</v>
      </c>
      <c r="V13" s="202">
        <f t="shared" si="5"/>
        <v>796.2262958280658</v>
      </c>
      <c r="W13" s="202"/>
      <c r="X13" s="202"/>
    </row>
    <row r="14" spans="1:24" s="38" customFormat="1" ht="18">
      <c r="A14" s="35">
        <v>4</v>
      </c>
      <c r="B14" s="36" t="s">
        <v>26</v>
      </c>
      <c r="C14" s="37">
        <v>1657</v>
      </c>
      <c r="D14" s="180">
        <v>1548</v>
      </c>
      <c r="E14" s="37">
        <v>10.558786346396966</v>
      </c>
      <c r="F14" s="37">
        <v>3</v>
      </c>
      <c r="G14" s="37">
        <v>-20.441213653603036</v>
      </c>
      <c r="H14" s="37">
        <v>34</v>
      </c>
      <c r="I14" s="37">
        <v>0</v>
      </c>
      <c r="J14" s="37">
        <v>0</v>
      </c>
      <c r="K14" s="37">
        <v>1</v>
      </c>
      <c r="L14" s="37">
        <v>1</v>
      </c>
      <c r="M14" s="202"/>
      <c r="N14" s="38">
        <f>ROUND('[3]Part-I'!P15/0.00098,0)</f>
        <v>3205</v>
      </c>
      <c r="O14" s="202">
        <f t="shared" si="0"/>
        <v>13.558786346396964</v>
      </c>
      <c r="P14" s="202">
        <f t="shared" si="1"/>
        <v>0.005132016028159336</v>
      </c>
      <c r="Q14" s="202">
        <f t="shared" si="2"/>
        <v>14</v>
      </c>
      <c r="R14" s="202"/>
      <c r="S14" s="202">
        <f t="shared" si="3"/>
        <v>13.558786346396966</v>
      </c>
      <c r="T14" s="202">
        <v>13.558786346396966</v>
      </c>
      <c r="U14" s="202">
        <f t="shared" si="4"/>
        <v>-20.441213653603036</v>
      </c>
      <c r="V14" s="202">
        <f t="shared" si="5"/>
        <v>10.558786346396966</v>
      </c>
      <c r="W14" s="202"/>
      <c r="X14" s="202"/>
    </row>
    <row r="15" spans="1:24" s="38" customFormat="1" ht="18">
      <c r="A15" s="35">
        <v>5</v>
      </c>
      <c r="B15" s="36" t="s">
        <v>27</v>
      </c>
      <c r="C15" s="37">
        <v>3182</v>
      </c>
      <c r="D15" s="180">
        <v>189</v>
      </c>
      <c r="E15" s="37">
        <v>416.27939317319846</v>
      </c>
      <c r="F15" s="37">
        <v>3</v>
      </c>
      <c r="G15" s="37">
        <v>387.27939317319846</v>
      </c>
      <c r="H15" s="37">
        <v>32</v>
      </c>
      <c r="I15" s="37">
        <v>0</v>
      </c>
      <c r="J15" s="37">
        <v>0</v>
      </c>
      <c r="K15" s="37">
        <v>0</v>
      </c>
      <c r="L15" s="37">
        <v>1</v>
      </c>
      <c r="M15" s="202"/>
      <c r="N15" s="38">
        <f>ROUND('[3]Part-I'!P16/0.00098,0)</f>
        <v>3371</v>
      </c>
      <c r="O15" s="202">
        <f t="shared" si="0"/>
        <v>419.27939317319846</v>
      </c>
      <c r="P15" s="202">
        <f t="shared" si="1"/>
        <v>0.15869772640923485</v>
      </c>
      <c r="Q15" s="202">
        <f t="shared" si="2"/>
        <v>419</v>
      </c>
      <c r="R15" s="202"/>
      <c r="S15" s="202">
        <f t="shared" si="3"/>
        <v>419.27939317319846</v>
      </c>
      <c r="T15" s="202">
        <v>419.27939317319846</v>
      </c>
      <c r="U15" s="202">
        <f t="shared" si="4"/>
        <v>387.27939317319846</v>
      </c>
      <c r="V15" s="202">
        <f t="shared" si="5"/>
        <v>416.27939317319846</v>
      </c>
      <c r="W15" s="202"/>
      <c r="X15" s="202"/>
    </row>
    <row r="16" spans="1:24" s="38" customFormat="1" ht="18">
      <c r="A16" s="40">
        <v>6</v>
      </c>
      <c r="B16" s="41" t="s">
        <v>28</v>
      </c>
      <c r="C16" s="37">
        <v>7838</v>
      </c>
      <c r="D16" s="180">
        <v>53</v>
      </c>
      <c r="E16" s="37">
        <v>16.730720606826804</v>
      </c>
      <c r="F16" s="37">
        <v>1</v>
      </c>
      <c r="G16" s="37">
        <v>-29.269279393173196</v>
      </c>
      <c r="H16" s="37">
        <v>47</v>
      </c>
      <c r="I16" s="37">
        <v>0</v>
      </c>
      <c r="J16" s="37">
        <v>0</v>
      </c>
      <c r="K16" s="37">
        <v>1</v>
      </c>
      <c r="L16" s="37">
        <v>0</v>
      </c>
      <c r="M16" s="202"/>
      <c r="N16" s="38">
        <f>ROUND('[3]Part-I'!P17/0.00098,0)</f>
        <v>7891</v>
      </c>
      <c r="O16" s="202">
        <f t="shared" si="0"/>
        <v>17.730720606826804</v>
      </c>
      <c r="P16" s="202">
        <f t="shared" si="1"/>
        <v>0.006711097882977594</v>
      </c>
      <c r="Q16" s="202">
        <f t="shared" si="2"/>
        <v>18</v>
      </c>
      <c r="R16" s="202"/>
      <c r="S16" s="202">
        <f t="shared" si="3"/>
        <v>17.730720606826804</v>
      </c>
      <c r="T16" s="202">
        <v>17.730720606826804</v>
      </c>
      <c r="U16" s="202">
        <f t="shared" si="4"/>
        <v>-29.269279393173196</v>
      </c>
      <c r="V16" s="202">
        <f t="shared" si="5"/>
        <v>16.730720606826804</v>
      </c>
      <c r="W16" s="202"/>
      <c r="X16" s="202"/>
    </row>
    <row r="17" spans="1:24" s="38" customFormat="1" ht="18">
      <c r="A17" s="35">
        <v>7</v>
      </c>
      <c r="B17" s="36" t="s">
        <v>29</v>
      </c>
      <c r="C17" s="37">
        <v>3839</v>
      </c>
      <c r="D17" s="180">
        <v>185</v>
      </c>
      <c r="E17" s="37">
        <v>355.04424778761063</v>
      </c>
      <c r="F17" s="37">
        <v>10</v>
      </c>
      <c r="G17" s="37">
        <v>335.04424778761063</v>
      </c>
      <c r="H17" s="37">
        <v>30</v>
      </c>
      <c r="I17" s="37">
        <v>0</v>
      </c>
      <c r="J17" s="37">
        <v>0</v>
      </c>
      <c r="K17" s="37">
        <v>0</v>
      </c>
      <c r="L17" s="37">
        <v>0</v>
      </c>
      <c r="M17" s="202"/>
      <c r="N17" s="38">
        <f>ROUND('[3]Part-I'!P18/0.00098,0)</f>
        <v>4024</v>
      </c>
      <c r="O17" s="202">
        <f t="shared" si="0"/>
        <v>365.04424778761063</v>
      </c>
      <c r="P17" s="202">
        <f t="shared" si="1"/>
        <v>0.13816966229659752</v>
      </c>
      <c r="Q17" s="202">
        <f t="shared" si="2"/>
        <v>365</v>
      </c>
      <c r="R17" s="202"/>
      <c r="S17" s="202">
        <f t="shared" si="3"/>
        <v>365.04424778761063</v>
      </c>
      <c r="T17" s="202">
        <v>365.04424778761063</v>
      </c>
      <c r="U17" s="202">
        <f t="shared" si="4"/>
        <v>335.04424778761063</v>
      </c>
      <c r="V17" s="202">
        <f t="shared" si="5"/>
        <v>355.04424778761063</v>
      </c>
      <c r="W17" s="202"/>
      <c r="X17" s="202"/>
    </row>
    <row r="18" spans="1:24" s="38" customFormat="1" ht="18">
      <c r="A18" s="35">
        <v>8</v>
      </c>
      <c r="B18" s="36" t="s">
        <v>30</v>
      </c>
      <c r="C18" s="37">
        <v>3785</v>
      </c>
      <c r="D18" s="180">
        <v>364</v>
      </c>
      <c r="E18" s="37">
        <v>272.26169405815426</v>
      </c>
      <c r="F18" s="37">
        <v>1</v>
      </c>
      <c r="G18" s="37">
        <v>239.26169405815426</v>
      </c>
      <c r="H18" s="37">
        <v>34</v>
      </c>
      <c r="I18" s="37">
        <v>0</v>
      </c>
      <c r="J18" s="37">
        <v>0</v>
      </c>
      <c r="K18" s="37">
        <v>0</v>
      </c>
      <c r="L18" s="37">
        <v>0</v>
      </c>
      <c r="M18" s="202"/>
      <c r="N18" s="38">
        <f>ROUND('[3]Part-I'!P19/0.00098,0)</f>
        <v>4149</v>
      </c>
      <c r="O18" s="202">
        <f t="shared" si="0"/>
        <v>273.26169405815426</v>
      </c>
      <c r="P18" s="202">
        <f t="shared" si="1"/>
        <v>0.10342986149059585</v>
      </c>
      <c r="Q18" s="202">
        <f t="shared" si="2"/>
        <v>273</v>
      </c>
      <c r="R18" s="202"/>
      <c r="S18" s="202">
        <f t="shared" si="3"/>
        <v>273.26169405815426</v>
      </c>
      <c r="T18" s="202">
        <v>273.26169405815426</v>
      </c>
      <c r="U18" s="202">
        <f t="shared" si="4"/>
        <v>239.26169405815426</v>
      </c>
      <c r="V18" s="202">
        <f t="shared" si="5"/>
        <v>272.26169405815426</v>
      </c>
      <c r="W18" s="202"/>
      <c r="X18" s="202"/>
    </row>
    <row r="19" spans="1:24" s="38" customFormat="1" ht="18">
      <c r="A19" s="35">
        <v>9</v>
      </c>
      <c r="B19" s="36" t="s">
        <v>31</v>
      </c>
      <c r="C19" s="37">
        <v>1035</v>
      </c>
      <c r="D19" s="180">
        <v>910</v>
      </c>
      <c r="E19" s="37">
        <v>251.40202275600504</v>
      </c>
      <c r="F19" s="37">
        <v>1</v>
      </c>
      <c r="G19" s="37">
        <v>174.40202275600504</v>
      </c>
      <c r="H19" s="37">
        <v>78</v>
      </c>
      <c r="I19" s="37">
        <v>0</v>
      </c>
      <c r="J19" s="37">
        <v>0</v>
      </c>
      <c r="K19" s="37">
        <v>1</v>
      </c>
      <c r="L19" s="37">
        <v>1</v>
      </c>
      <c r="M19" s="202"/>
      <c r="N19" s="38">
        <f>ROUND('[3]Part-I'!P20/0.00098,0)</f>
        <v>1945</v>
      </c>
      <c r="O19" s="202">
        <f t="shared" si="0"/>
        <v>252.40202275600504</v>
      </c>
      <c r="P19" s="202">
        <f t="shared" si="1"/>
        <v>0.09553445221650456</v>
      </c>
      <c r="Q19" s="202">
        <f t="shared" si="2"/>
        <v>252</v>
      </c>
      <c r="R19" s="202"/>
      <c r="S19" s="202">
        <f t="shared" si="3"/>
        <v>252.40202275600504</v>
      </c>
      <c r="T19" s="202">
        <v>252.40202275600504</v>
      </c>
      <c r="U19" s="202">
        <f t="shared" si="4"/>
        <v>174.40202275600504</v>
      </c>
      <c r="V19" s="202">
        <f t="shared" si="5"/>
        <v>251.40202275600504</v>
      </c>
      <c r="W19" s="202"/>
      <c r="X19" s="202"/>
    </row>
    <row r="20" spans="1:24" s="38" customFormat="1" ht="18">
      <c r="A20" s="35">
        <v>10</v>
      </c>
      <c r="B20" s="36" t="s">
        <v>32</v>
      </c>
      <c r="C20" s="37">
        <v>2537</v>
      </c>
      <c r="D20" s="180">
        <v>2062</v>
      </c>
      <c r="E20" s="37">
        <v>987.7484197218711</v>
      </c>
      <c r="F20" s="37">
        <v>1</v>
      </c>
      <c r="G20" s="37">
        <v>946.7484197218711</v>
      </c>
      <c r="H20" s="37">
        <v>42</v>
      </c>
      <c r="I20" s="37">
        <v>0</v>
      </c>
      <c r="J20" s="37">
        <v>0</v>
      </c>
      <c r="K20" s="37">
        <v>0</v>
      </c>
      <c r="L20" s="37">
        <v>0</v>
      </c>
      <c r="M20" s="202"/>
      <c r="N20" s="38">
        <f>ROUND('[3]Part-I'!P21/0.00098,0)</f>
        <v>4599</v>
      </c>
      <c r="O20" s="202">
        <f t="shared" si="0"/>
        <v>988.7484197218711</v>
      </c>
      <c r="P20" s="202">
        <f t="shared" si="1"/>
        <v>0.37424239959192696</v>
      </c>
      <c r="Q20" s="202">
        <f t="shared" si="2"/>
        <v>989</v>
      </c>
      <c r="R20" s="202"/>
      <c r="S20" s="202">
        <f t="shared" si="3"/>
        <v>988.7484197218711</v>
      </c>
      <c r="T20" s="202">
        <v>988.7484197218711</v>
      </c>
      <c r="U20" s="202">
        <f t="shared" si="4"/>
        <v>946.7484197218711</v>
      </c>
      <c r="V20" s="202">
        <f t="shared" si="5"/>
        <v>987.7484197218711</v>
      </c>
      <c r="W20" s="202"/>
      <c r="X20" s="202"/>
    </row>
    <row r="21" spans="1:24" s="38" customFormat="1" ht="18">
      <c r="A21" s="35">
        <v>11</v>
      </c>
      <c r="B21" s="36" t="s">
        <v>33</v>
      </c>
      <c r="C21" s="37">
        <v>617</v>
      </c>
      <c r="D21" s="180">
        <v>704</v>
      </c>
      <c r="E21" s="37">
        <v>180.47914032869787</v>
      </c>
      <c r="F21" s="37">
        <v>1</v>
      </c>
      <c r="G21" s="37">
        <v>150.47914032869787</v>
      </c>
      <c r="H21" s="133">
        <v>31</v>
      </c>
      <c r="I21" s="37">
        <v>0</v>
      </c>
      <c r="J21" s="37">
        <v>0</v>
      </c>
      <c r="K21" s="37">
        <v>1</v>
      </c>
      <c r="L21" s="37">
        <v>1</v>
      </c>
      <c r="M21" s="202"/>
      <c r="N21" s="38">
        <f>ROUND('[3]Part-I'!P22/0.00098,0)</f>
        <v>1321</v>
      </c>
      <c r="O21" s="202">
        <f t="shared" si="0"/>
        <v>181.47914032869787</v>
      </c>
      <c r="P21" s="202">
        <f t="shared" si="1"/>
        <v>0.0686900606845942</v>
      </c>
      <c r="Q21" s="202">
        <f t="shared" si="2"/>
        <v>181</v>
      </c>
      <c r="R21" s="202"/>
      <c r="S21" s="202">
        <f t="shared" si="3"/>
        <v>181.47914032869787</v>
      </c>
      <c r="T21" s="202">
        <v>181.47914032869787</v>
      </c>
      <c r="U21" s="202">
        <f t="shared" si="4"/>
        <v>150.47914032869787</v>
      </c>
      <c r="V21" s="202">
        <f t="shared" si="5"/>
        <v>180.47914032869787</v>
      </c>
      <c r="W21" s="202"/>
      <c r="X21" s="202"/>
    </row>
    <row r="22" spans="1:24" s="38" customFormat="1" ht="18">
      <c r="A22" s="35">
        <v>12</v>
      </c>
      <c r="B22" s="36" t="s">
        <v>34</v>
      </c>
      <c r="C22" s="37">
        <v>1032</v>
      </c>
      <c r="D22" s="180">
        <v>877</v>
      </c>
      <c r="E22" s="37">
        <v>180.52212389380531</v>
      </c>
      <c r="F22" s="37">
        <v>2</v>
      </c>
      <c r="G22" s="37">
        <v>128.52212389380531</v>
      </c>
      <c r="H22" s="37">
        <v>54</v>
      </c>
      <c r="I22" s="37">
        <v>0</v>
      </c>
      <c r="J22" s="37">
        <v>0</v>
      </c>
      <c r="K22" s="37">
        <v>0</v>
      </c>
      <c r="L22" s="37">
        <v>0</v>
      </c>
      <c r="M22" s="202"/>
      <c r="N22" s="38">
        <f>ROUND('[3]Part-I'!P23/0.00098,0)</f>
        <v>1909</v>
      </c>
      <c r="O22" s="202">
        <f t="shared" si="0"/>
        <v>182.52212389380531</v>
      </c>
      <c r="P22" s="202">
        <f t="shared" si="1"/>
        <v>0.06908483114829876</v>
      </c>
      <c r="Q22" s="202">
        <f t="shared" si="2"/>
        <v>183</v>
      </c>
      <c r="R22" s="202"/>
      <c r="S22" s="202">
        <f t="shared" si="3"/>
        <v>182.52212389380531</v>
      </c>
      <c r="T22" s="202">
        <v>182.52212389380531</v>
      </c>
      <c r="U22" s="202">
        <f t="shared" si="4"/>
        <v>128.52212389380531</v>
      </c>
      <c r="V22" s="202">
        <f t="shared" si="5"/>
        <v>180.52212389380531</v>
      </c>
      <c r="W22" s="202"/>
      <c r="X22" s="202"/>
    </row>
    <row r="23" spans="1:24" s="38" customFormat="1" ht="18">
      <c r="A23" s="35">
        <v>13</v>
      </c>
      <c r="B23" s="36" t="s">
        <v>35</v>
      </c>
      <c r="C23" s="37">
        <v>1244</v>
      </c>
      <c r="D23" s="180">
        <v>452</v>
      </c>
      <c r="E23" s="37">
        <v>250.44500632111252</v>
      </c>
      <c r="F23" s="37">
        <v>3</v>
      </c>
      <c r="G23" s="37">
        <v>215.44500632111252</v>
      </c>
      <c r="H23" s="37">
        <v>38</v>
      </c>
      <c r="I23" s="37">
        <v>0</v>
      </c>
      <c r="J23" s="37">
        <v>0</v>
      </c>
      <c r="K23" s="37">
        <v>1</v>
      </c>
      <c r="L23" s="37">
        <v>0</v>
      </c>
      <c r="M23" s="202"/>
      <c r="N23" s="38">
        <f>ROUND('[3]Part-I'!P24/0.00098,0)</f>
        <v>1696</v>
      </c>
      <c r="O23" s="202">
        <f t="shared" si="0"/>
        <v>253.44500632111252</v>
      </c>
      <c r="P23" s="202">
        <f t="shared" si="1"/>
        <v>0.09592922268020913</v>
      </c>
      <c r="Q23" s="202">
        <f t="shared" si="2"/>
        <v>253</v>
      </c>
      <c r="R23" s="202"/>
      <c r="S23" s="202">
        <f t="shared" si="3"/>
        <v>253.44500632111252</v>
      </c>
      <c r="T23" s="202">
        <v>253.44500632111252</v>
      </c>
      <c r="U23" s="202">
        <f t="shared" si="4"/>
        <v>215.44500632111252</v>
      </c>
      <c r="V23" s="202">
        <f t="shared" si="5"/>
        <v>250.44500632111252</v>
      </c>
      <c r="W23" s="202"/>
      <c r="X23" s="202"/>
    </row>
    <row r="24" spans="1:20" ht="18">
      <c r="A24" s="31"/>
      <c r="B24" s="32" t="s">
        <v>5</v>
      </c>
      <c r="C24" s="33">
        <f>SUM(C11:C23)</f>
        <v>39049</v>
      </c>
      <c r="D24" s="33">
        <f aca="true" t="shared" si="6" ref="D24:L24">SUM(D11:D23)</f>
        <v>8712</v>
      </c>
      <c r="E24" s="33">
        <f t="shared" si="6"/>
        <v>4083.9999999999995</v>
      </c>
      <c r="F24" s="33">
        <f t="shared" si="6"/>
        <v>41</v>
      </c>
      <c r="G24" s="33">
        <f t="shared" si="6"/>
        <v>3586.9999999999995</v>
      </c>
      <c r="H24" s="33">
        <f t="shared" si="6"/>
        <v>538</v>
      </c>
      <c r="I24" s="33">
        <f t="shared" si="6"/>
        <v>0</v>
      </c>
      <c r="J24" s="33">
        <f t="shared" si="6"/>
        <v>0</v>
      </c>
      <c r="K24" s="33">
        <f t="shared" si="6"/>
        <v>8</v>
      </c>
      <c r="L24" s="33">
        <f t="shared" si="6"/>
        <v>5</v>
      </c>
      <c r="O24" s="182">
        <v>2642</v>
      </c>
      <c r="S24" s="182">
        <f>SUM(S11:S23)</f>
        <v>4125</v>
      </c>
      <c r="T24" s="182"/>
    </row>
    <row r="25" spans="4:20" ht="18.75">
      <c r="D25" s="269"/>
      <c r="E25" s="286">
        <v>2642</v>
      </c>
      <c r="F25" s="134"/>
      <c r="G25" s="135">
        <v>2642</v>
      </c>
      <c r="H25" s="181"/>
      <c r="I25" s="136"/>
      <c r="L25" s="182"/>
      <c r="O25" s="28">
        <v>2642</v>
      </c>
      <c r="T25" s="202"/>
    </row>
    <row r="26" spans="4:9" ht="11.25" customHeight="1">
      <c r="D26" s="182"/>
      <c r="E26" s="182">
        <f>E25-E24</f>
        <v>-1441.9999999999995</v>
      </c>
      <c r="G26" s="137">
        <f>G25-G24</f>
        <v>-944.9999999999995</v>
      </c>
      <c r="H26" s="132"/>
      <c r="I26" s="136"/>
    </row>
    <row r="27" spans="6:10" ht="18">
      <c r="F27" s="132"/>
      <c r="G27" s="138"/>
      <c r="H27" s="132"/>
      <c r="I27" s="137"/>
      <c r="J27" s="175" t="s">
        <v>134</v>
      </c>
    </row>
    <row r="28" spans="4:10" ht="18">
      <c r="D28" s="34"/>
      <c r="J28" s="176" t="s">
        <v>135</v>
      </c>
    </row>
    <row r="29" ht="18">
      <c r="J29" s="176" t="s">
        <v>115</v>
      </c>
    </row>
    <row r="30" ht="18">
      <c r="J30" s="177" t="s">
        <v>136</v>
      </c>
    </row>
    <row r="31" ht="18">
      <c r="J31" s="176" t="s">
        <v>117</v>
      </c>
    </row>
  </sheetData>
  <sheetProtection/>
  <mergeCells count="11"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W2" sqref="W2"/>
    </sheetView>
  </sheetViews>
  <sheetFormatPr defaultColWidth="9.140625" defaultRowHeight="15"/>
  <cols>
    <col min="1" max="1" width="6.421875" style="74" customWidth="1"/>
    <col min="2" max="2" width="16.7109375" style="74" customWidth="1"/>
    <col min="3" max="4" width="10.00390625" style="74" customWidth="1"/>
    <col min="5" max="5" width="6.00390625" style="74" bestFit="1" customWidth="1"/>
    <col min="6" max="6" width="10.28125" style="74" bestFit="1" customWidth="1"/>
    <col min="7" max="7" width="6.00390625" style="74" bestFit="1" customWidth="1"/>
    <col min="8" max="8" width="10.28125" style="74" bestFit="1" customWidth="1"/>
    <col min="9" max="9" width="6.00390625" style="74" bestFit="1" customWidth="1"/>
    <col min="10" max="10" width="10.28125" style="74" bestFit="1" customWidth="1"/>
    <col min="11" max="11" width="6.8515625" style="74" bestFit="1" customWidth="1"/>
    <col min="12" max="12" width="9.421875" style="74" customWidth="1"/>
    <col min="13" max="13" width="6.8515625" style="74" bestFit="1" customWidth="1"/>
    <col min="14" max="14" width="10.28125" style="74" bestFit="1" customWidth="1"/>
    <col min="15" max="15" width="6.8515625" style="74" bestFit="1" customWidth="1"/>
    <col min="16" max="16" width="10.28125" style="74" bestFit="1" customWidth="1"/>
    <col min="17" max="17" width="6.8515625" style="74" bestFit="1" customWidth="1"/>
    <col min="18" max="18" width="8.57421875" style="74" customWidth="1"/>
    <col min="19" max="19" width="6.8515625" style="74" bestFit="1" customWidth="1"/>
    <col min="20" max="20" width="10.28125" style="74" bestFit="1" customWidth="1"/>
    <col min="21" max="22" width="6.8515625" style="74" bestFit="1" customWidth="1"/>
    <col min="23" max="16384" width="9.140625" style="74" customWidth="1"/>
  </cols>
  <sheetData>
    <row r="1" ht="18.75" customHeight="1">
      <c r="V1" s="75" t="s">
        <v>96</v>
      </c>
    </row>
    <row r="2" spans="1:22" ht="18.75" customHeight="1">
      <c r="A2" s="390" t="s">
        <v>138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2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5" customHeight="1">
      <c r="A4" s="391" t="s">
        <v>145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</row>
    <row r="5" spans="1:22" ht="18" customHeight="1">
      <c r="A5" s="77" t="s">
        <v>38</v>
      </c>
      <c r="B5" s="8"/>
      <c r="C5" s="78"/>
      <c r="D5" s="78"/>
      <c r="E5" s="78"/>
      <c r="F5" s="78"/>
      <c r="G5" s="78"/>
      <c r="H5" s="78"/>
      <c r="I5" s="78"/>
      <c r="L5" s="79"/>
      <c r="V5" s="80"/>
    </row>
    <row r="6" spans="2:9" ht="18" customHeight="1">
      <c r="B6" s="81"/>
      <c r="C6" s="78"/>
      <c r="D6" s="78"/>
      <c r="E6" s="78"/>
      <c r="F6" s="78"/>
      <c r="G6" s="78"/>
      <c r="H6" s="78"/>
      <c r="I6" s="78"/>
    </row>
    <row r="7" spans="1:22" s="82" customFormat="1" ht="30.75" customHeight="1">
      <c r="A7" s="393" t="s">
        <v>82</v>
      </c>
      <c r="B7" s="393" t="s">
        <v>111</v>
      </c>
      <c r="C7" s="394" t="s">
        <v>83</v>
      </c>
      <c r="D7" s="394"/>
      <c r="E7" s="393" t="s">
        <v>84</v>
      </c>
      <c r="F7" s="393"/>
      <c r="G7" s="393"/>
      <c r="H7" s="393"/>
      <c r="I7" s="393"/>
      <c r="J7" s="393"/>
      <c r="K7" s="393"/>
      <c r="L7" s="393"/>
      <c r="M7" s="392" t="s">
        <v>98</v>
      </c>
      <c r="N7" s="392"/>
      <c r="O7" s="392"/>
      <c r="P7" s="392"/>
      <c r="Q7" s="392"/>
      <c r="R7" s="392"/>
      <c r="S7" s="392"/>
      <c r="T7" s="392"/>
      <c r="U7" s="392"/>
      <c r="V7" s="392"/>
    </row>
    <row r="8" spans="1:22" s="82" customFormat="1" ht="84.75" customHeight="1">
      <c r="A8" s="393"/>
      <c r="B8" s="393"/>
      <c r="C8" s="394" t="s">
        <v>87</v>
      </c>
      <c r="D8" s="394"/>
      <c r="E8" s="393" t="s">
        <v>88</v>
      </c>
      <c r="F8" s="393"/>
      <c r="G8" s="393" t="s">
        <v>89</v>
      </c>
      <c r="H8" s="393"/>
      <c r="I8" s="393" t="s">
        <v>90</v>
      </c>
      <c r="J8" s="393"/>
      <c r="K8" s="393" t="s">
        <v>91</v>
      </c>
      <c r="L8" s="393"/>
      <c r="M8" s="395" t="s">
        <v>99</v>
      </c>
      <c r="N8" s="395"/>
      <c r="O8" s="395" t="s">
        <v>100</v>
      </c>
      <c r="P8" s="395"/>
      <c r="Q8" s="395" t="s">
        <v>101</v>
      </c>
      <c r="R8" s="395"/>
      <c r="S8" s="395" t="s">
        <v>102</v>
      </c>
      <c r="T8" s="395"/>
      <c r="U8" s="395" t="s">
        <v>103</v>
      </c>
      <c r="V8" s="392"/>
    </row>
    <row r="9" spans="1:22" s="86" customFormat="1" ht="30.75" customHeight="1">
      <c r="A9" s="393"/>
      <c r="B9" s="393"/>
      <c r="C9" s="83" t="s">
        <v>92</v>
      </c>
      <c r="D9" s="83" t="s">
        <v>93</v>
      </c>
      <c r="E9" s="84" t="s">
        <v>92</v>
      </c>
      <c r="F9" s="84" t="s">
        <v>93</v>
      </c>
      <c r="G9" s="84" t="s">
        <v>92</v>
      </c>
      <c r="H9" s="84" t="s">
        <v>93</v>
      </c>
      <c r="I9" s="84" t="s">
        <v>92</v>
      </c>
      <c r="J9" s="84" t="s">
        <v>93</v>
      </c>
      <c r="K9" s="84" t="s">
        <v>92</v>
      </c>
      <c r="L9" s="84" t="s">
        <v>93</v>
      </c>
      <c r="M9" s="85" t="s">
        <v>92</v>
      </c>
      <c r="N9" s="85" t="s">
        <v>93</v>
      </c>
      <c r="O9" s="85" t="s">
        <v>92</v>
      </c>
      <c r="P9" s="85" t="s">
        <v>93</v>
      </c>
      <c r="Q9" s="85" t="s">
        <v>92</v>
      </c>
      <c r="R9" s="85" t="s">
        <v>93</v>
      </c>
      <c r="S9" s="85" t="s">
        <v>92</v>
      </c>
      <c r="T9" s="85" t="s">
        <v>93</v>
      </c>
      <c r="U9" s="85" t="s">
        <v>92</v>
      </c>
      <c r="V9" s="85" t="s">
        <v>92</v>
      </c>
    </row>
    <row r="10" spans="1:22" s="90" customFormat="1" ht="19.5" customHeight="1">
      <c r="A10" s="87">
        <v>1</v>
      </c>
      <c r="B10" s="87">
        <v>2</v>
      </c>
      <c r="C10" s="88">
        <v>3</v>
      </c>
      <c r="D10" s="88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</row>
    <row r="11" spans="1:22" s="97" customFormat="1" ht="73.5" customHeight="1">
      <c r="A11" s="91"/>
      <c r="B11" s="92" t="s">
        <v>117</v>
      </c>
      <c r="C11" s="93">
        <v>146</v>
      </c>
      <c r="D11" s="93">
        <v>141</v>
      </c>
      <c r="E11" s="94">
        <v>13</v>
      </c>
      <c r="F11" s="95">
        <v>13</v>
      </c>
      <c r="G11" s="95">
        <v>59</v>
      </c>
      <c r="H11" s="95">
        <v>59</v>
      </c>
      <c r="I11" s="95">
        <v>13</v>
      </c>
      <c r="J11" s="95">
        <v>13</v>
      </c>
      <c r="K11" s="95">
        <v>13</v>
      </c>
      <c r="L11" s="95">
        <v>13</v>
      </c>
      <c r="M11" s="96">
        <v>5</v>
      </c>
      <c r="N11" s="96">
        <v>5</v>
      </c>
      <c r="O11" s="96">
        <v>2</v>
      </c>
      <c r="P11" s="96">
        <v>2</v>
      </c>
      <c r="Q11" s="96">
        <v>1</v>
      </c>
      <c r="R11" s="96">
        <v>1</v>
      </c>
      <c r="S11" s="96" t="s">
        <v>118</v>
      </c>
      <c r="T11" s="96" t="s">
        <v>118</v>
      </c>
      <c r="U11" s="96">
        <v>1</v>
      </c>
      <c r="V11" s="96">
        <v>1</v>
      </c>
    </row>
    <row r="12" spans="9:11" ht="13.5">
      <c r="I12" s="396"/>
      <c r="J12" s="396"/>
      <c r="K12" s="396"/>
    </row>
    <row r="13" spans="9:11" ht="13.5">
      <c r="I13" s="98"/>
      <c r="J13" s="98"/>
      <c r="K13" s="98"/>
    </row>
    <row r="14" spans="9:11" ht="13.5">
      <c r="I14" s="98"/>
      <c r="J14" s="98"/>
      <c r="K14" s="98"/>
    </row>
    <row r="15" spans="9:11" ht="12.75">
      <c r="I15" s="389"/>
      <c r="J15" s="389"/>
      <c r="K15" s="389"/>
    </row>
    <row r="16" spans="9:11" ht="12.75">
      <c r="I16" s="100"/>
      <c r="J16" s="99"/>
      <c r="K16" s="100"/>
    </row>
    <row r="17" spans="9:20" ht="15.75">
      <c r="I17" s="389"/>
      <c r="J17" s="389"/>
      <c r="K17" s="389"/>
      <c r="R17" s="101" t="s">
        <v>134</v>
      </c>
      <c r="S17" s="102"/>
      <c r="T17" s="102"/>
    </row>
    <row r="18" spans="9:20" ht="15.75">
      <c r="I18" s="389"/>
      <c r="J18" s="389"/>
      <c r="K18" s="389"/>
      <c r="R18" s="103" t="s">
        <v>135</v>
      </c>
      <c r="S18" s="104"/>
      <c r="T18" s="104"/>
    </row>
    <row r="19" spans="18:20" ht="15.75">
      <c r="R19" s="103" t="s">
        <v>115</v>
      </c>
      <c r="S19" s="104"/>
      <c r="T19" s="104"/>
    </row>
    <row r="20" spans="18:20" ht="15.75">
      <c r="R20" s="105" t="s">
        <v>136</v>
      </c>
      <c r="S20" s="106"/>
      <c r="T20" s="106"/>
    </row>
    <row r="21" spans="18:20" ht="15.75">
      <c r="R21" s="103" t="s">
        <v>117</v>
      </c>
      <c r="S21" s="104"/>
      <c r="T21" s="104"/>
    </row>
    <row r="22" ht="12.75">
      <c r="R22" s="107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F1">
      <selection activeCell="K20" sqref="K20"/>
    </sheetView>
  </sheetViews>
  <sheetFormatPr defaultColWidth="9.140625" defaultRowHeight="15"/>
  <cols>
    <col min="1" max="1" width="6.7109375" style="108" customWidth="1"/>
    <col min="2" max="2" width="19.00390625" style="108" customWidth="1"/>
    <col min="3" max="4" width="7.421875" style="109" customWidth="1"/>
    <col min="5" max="26" width="6.7109375" style="109" customWidth="1"/>
    <col min="27" max="16384" width="9.140625" style="108" customWidth="1"/>
  </cols>
  <sheetData>
    <row r="1" spans="11:26" ht="12" customHeight="1">
      <c r="K1" s="399"/>
      <c r="L1" s="399"/>
      <c r="M1" s="110"/>
      <c r="N1" s="110"/>
      <c r="O1" s="110"/>
      <c r="P1" s="110"/>
      <c r="Q1" s="110"/>
      <c r="R1" s="110"/>
      <c r="S1" s="110"/>
      <c r="T1" s="110"/>
      <c r="U1" s="110"/>
      <c r="V1" s="110"/>
      <c r="X1" s="111"/>
      <c r="Y1" s="108"/>
      <c r="Z1" s="112" t="s">
        <v>97</v>
      </c>
    </row>
    <row r="2" spans="1:26" s="74" customFormat="1" ht="18.75" customHeight="1">
      <c r="A2" s="390" t="s">
        <v>138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74" customFormat="1" ht="6.75" customHeight="1">
      <c r="A3" s="76"/>
      <c r="B3" s="76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4"/>
      <c r="Y3" s="114"/>
      <c r="Z3" s="114"/>
    </row>
    <row r="4" spans="1:26" s="74" customFormat="1" ht="21" customHeight="1">
      <c r="A4" s="391" t="s">
        <v>146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</row>
    <row r="5" spans="1:26" ht="18" customHeight="1">
      <c r="A5" s="77" t="s">
        <v>38</v>
      </c>
      <c r="B5" s="115"/>
      <c r="C5" s="116"/>
      <c r="D5" s="116"/>
      <c r="E5" s="116"/>
      <c r="F5" s="116"/>
      <c r="G5" s="116"/>
      <c r="H5" s="116"/>
      <c r="I5" s="116"/>
      <c r="X5" s="397"/>
      <c r="Y5" s="397"/>
      <c r="Z5" s="397"/>
    </row>
    <row r="6" spans="1:26" ht="18" customHeight="1">
      <c r="A6" s="118"/>
      <c r="B6" s="118"/>
      <c r="C6" s="116"/>
      <c r="D6" s="116"/>
      <c r="E6" s="116"/>
      <c r="F6" s="116"/>
      <c r="G6" s="116"/>
      <c r="H6" s="116"/>
      <c r="I6" s="116"/>
      <c r="X6" s="117"/>
      <c r="Y6" s="117"/>
      <c r="Z6" s="117"/>
    </row>
    <row r="7" spans="1:26" s="86" customFormat="1" ht="30.75" customHeight="1">
      <c r="A7" s="411" t="s">
        <v>82</v>
      </c>
      <c r="B7" s="408" t="s">
        <v>111</v>
      </c>
      <c r="C7" s="406" t="s">
        <v>83</v>
      </c>
      <c r="D7" s="407"/>
      <c r="E7" s="405" t="s">
        <v>84</v>
      </c>
      <c r="F7" s="405"/>
      <c r="G7" s="405"/>
      <c r="H7" s="405"/>
      <c r="I7" s="405"/>
      <c r="J7" s="405"/>
      <c r="K7" s="405"/>
      <c r="L7" s="405"/>
      <c r="M7" s="400" t="s">
        <v>98</v>
      </c>
      <c r="N7" s="401"/>
      <c r="O7" s="401"/>
      <c r="P7" s="401"/>
      <c r="Q7" s="401"/>
      <c r="R7" s="401"/>
      <c r="S7" s="401"/>
      <c r="T7" s="401"/>
      <c r="U7" s="401"/>
      <c r="V7" s="401"/>
      <c r="W7" s="402" t="s">
        <v>85</v>
      </c>
      <c r="X7" s="402"/>
      <c r="Y7" s="402" t="s">
        <v>86</v>
      </c>
      <c r="Z7" s="402"/>
    </row>
    <row r="8" spans="1:26" s="86" customFormat="1" ht="39.75" customHeight="1">
      <c r="A8" s="412"/>
      <c r="B8" s="409"/>
      <c r="C8" s="414" t="s">
        <v>87</v>
      </c>
      <c r="D8" s="415"/>
      <c r="E8" s="398" t="s">
        <v>88</v>
      </c>
      <c r="F8" s="398"/>
      <c r="G8" s="398" t="s">
        <v>89</v>
      </c>
      <c r="H8" s="398"/>
      <c r="I8" s="398" t="s">
        <v>90</v>
      </c>
      <c r="J8" s="398"/>
      <c r="K8" s="398" t="s">
        <v>91</v>
      </c>
      <c r="L8" s="398"/>
      <c r="M8" s="403" t="s">
        <v>99</v>
      </c>
      <c r="N8" s="403"/>
      <c r="O8" s="403" t="s">
        <v>100</v>
      </c>
      <c r="P8" s="403"/>
      <c r="Q8" s="403" t="s">
        <v>101</v>
      </c>
      <c r="R8" s="403"/>
      <c r="S8" s="403" t="s">
        <v>102</v>
      </c>
      <c r="T8" s="403"/>
      <c r="U8" s="403" t="s">
        <v>103</v>
      </c>
      <c r="V8" s="404"/>
      <c r="W8" s="402"/>
      <c r="X8" s="402"/>
      <c r="Y8" s="402"/>
      <c r="Z8" s="402"/>
    </row>
    <row r="9" spans="1:26" s="86" customFormat="1" ht="25.5" customHeight="1">
      <c r="A9" s="413"/>
      <c r="B9" s="410"/>
      <c r="C9" s="119" t="s">
        <v>94</v>
      </c>
      <c r="D9" s="119" t="s">
        <v>95</v>
      </c>
      <c r="E9" s="120" t="s">
        <v>94</v>
      </c>
      <c r="F9" s="120" t="s">
        <v>95</v>
      </c>
      <c r="G9" s="120" t="s">
        <v>94</v>
      </c>
      <c r="H9" s="120" t="s">
        <v>95</v>
      </c>
      <c r="I9" s="120" t="s">
        <v>94</v>
      </c>
      <c r="J9" s="120" t="s">
        <v>95</v>
      </c>
      <c r="K9" s="120" t="s">
        <v>94</v>
      </c>
      <c r="L9" s="120" t="s">
        <v>95</v>
      </c>
      <c r="M9" s="85" t="s">
        <v>94</v>
      </c>
      <c r="N9" s="85" t="s">
        <v>95</v>
      </c>
      <c r="O9" s="85" t="s">
        <v>94</v>
      </c>
      <c r="P9" s="85" t="s">
        <v>95</v>
      </c>
      <c r="Q9" s="85" t="s">
        <v>94</v>
      </c>
      <c r="R9" s="85" t="s">
        <v>95</v>
      </c>
      <c r="S9" s="85" t="s">
        <v>94</v>
      </c>
      <c r="T9" s="85" t="s">
        <v>95</v>
      </c>
      <c r="U9" s="85" t="s">
        <v>94</v>
      </c>
      <c r="V9" s="85" t="s">
        <v>95</v>
      </c>
      <c r="W9" s="84" t="s">
        <v>94</v>
      </c>
      <c r="X9" s="84" t="s">
        <v>95</v>
      </c>
      <c r="Y9" s="84" t="s">
        <v>94</v>
      </c>
      <c r="Z9" s="84" t="s">
        <v>95</v>
      </c>
    </row>
    <row r="10" spans="1:26" s="122" customFormat="1" ht="19.5" customHeight="1">
      <c r="A10" s="87">
        <v>1</v>
      </c>
      <c r="B10" s="87">
        <v>2</v>
      </c>
      <c r="C10" s="87">
        <v>3</v>
      </c>
      <c r="D10" s="87">
        <v>4</v>
      </c>
      <c r="E10" s="121">
        <v>5</v>
      </c>
      <c r="F10" s="121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121">
        <v>13</v>
      </c>
      <c r="N10" s="121">
        <v>14</v>
      </c>
      <c r="O10" s="121">
        <v>15</v>
      </c>
      <c r="P10" s="121">
        <v>16</v>
      </c>
      <c r="Q10" s="121">
        <v>17</v>
      </c>
      <c r="R10" s="121">
        <v>18</v>
      </c>
      <c r="S10" s="121">
        <v>19</v>
      </c>
      <c r="T10" s="121">
        <v>20</v>
      </c>
      <c r="U10" s="121">
        <v>21</v>
      </c>
      <c r="V10" s="121">
        <v>22</v>
      </c>
      <c r="W10" s="121">
        <v>23</v>
      </c>
      <c r="X10" s="121">
        <v>24</v>
      </c>
      <c r="Y10" s="121">
        <v>25</v>
      </c>
      <c r="Z10" s="121">
        <v>26</v>
      </c>
    </row>
    <row r="11" spans="1:26" s="127" customFormat="1" ht="82.5" customHeight="1">
      <c r="A11" s="123"/>
      <c r="B11" s="123" t="s">
        <v>117</v>
      </c>
      <c r="C11" s="124">
        <v>141</v>
      </c>
      <c r="D11" s="124">
        <v>141</v>
      </c>
      <c r="E11" s="125">
        <v>13</v>
      </c>
      <c r="F11" s="125">
        <v>13</v>
      </c>
      <c r="G11" s="125">
        <v>59</v>
      </c>
      <c r="H11" s="125">
        <v>59</v>
      </c>
      <c r="I11" s="125">
        <v>13</v>
      </c>
      <c r="J11" s="125">
        <v>13</v>
      </c>
      <c r="K11" s="125">
        <v>13</v>
      </c>
      <c r="L11" s="125">
        <v>13</v>
      </c>
      <c r="M11" s="126">
        <v>5</v>
      </c>
      <c r="N11" s="126">
        <v>5</v>
      </c>
      <c r="O11" s="126">
        <v>2</v>
      </c>
      <c r="P11" s="126">
        <v>2</v>
      </c>
      <c r="Q11" s="126">
        <v>1</v>
      </c>
      <c r="R11" s="126">
        <v>1</v>
      </c>
      <c r="S11" s="126" t="s">
        <v>118</v>
      </c>
      <c r="T11" s="126" t="s">
        <v>118</v>
      </c>
      <c r="U11" s="126">
        <v>1</v>
      </c>
      <c r="V11" s="126">
        <v>1</v>
      </c>
      <c r="W11" s="126">
        <v>2406</v>
      </c>
      <c r="X11" s="126">
        <v>2406</v>
      </c>
      <c r="Y11" s="126">
        <v>3085</v>
      </c>
      <c r="Z11" s="126">
        <v>3085</v>
      </c>
    </row>
    <row r="12" spans="12:24" ht="15"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2:24" ht="15"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2:24" ht="15"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2:24" ht="15"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ht="15">
      <c r="X16" s="130"/>
    </row>
    <row r="17" spans="13:22" ht="16.5">
      <c r="M17" s="131"/>
      <c r="N17" s="131"/>
      <c r="O17" s="131"/>
      <c r="P17" s="131"/>
      <c r="Q17" s="131"/>
      <c r="R17" s="131"/>
      <c r="S17" s="131"/>
      <c r="T17" s="131"/>
      <c r="V17" s="101" t="s">
        <v>134</v>
      </c>
    </row>
    <row r="18" ht="16.5">
      <c r="V18" s="103" t="s">
        <v>135</v>
      </c>
    </row>
    <row r="19" ht="16.5">
      <c r="V19" s="103" t="s">
        <v>115</v>
      </c>
    </row>
    <row r="20" ht="16.5">
      <c r="V20" s="105" t="s">
        <v>136</v>
      </c>
    </row>
    <row r="21" ht="16.5">
      <c r="V21" s="103" t="s">
        <v>117</v>
      </c>
    </row>
  </sheetData>
  <sheetProtection/>
  <mergeCells count="21">
    <mergeCell ref="B7:B9"/>
    <mergeCell ref="A7:A9"/>
    <mergeCell ref="C8:D8"/>
    <mergeCell ref="M8:N8"/>
    <mergeCell ref="Y7:Z8"/>
    <mergeCell ref="E7:L7"/>
    <mergeCell ref="E8:F8"/>
    <mergeCell ref="C7:D7"/>
    <mergeCell ref="I8:J8"/>
    <mergeCell ref="S8:T8"/>
    <mergeCell ref="O8:P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MGNREGA-4</cp:lastModifiedBy>
  <cp:lastPrinted>2011-02-14T08:10:36Z</cp:lastPrinted>
  <dcterms:created xsi:type="dcterms:W3CDTF">2008-06-03T10:00:46Z</dcterms:created>
  <dcterms:modified xsi:type="dcterms:W3CDTF">2011-03-16T11:25:52Z</dcterms:modified>
  <cp:category/>
  <cp:version/>
  <cp:contentType/>
  <cp:contentStatus/>
</cp:coreProperties>
</file>